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omments1.xml" ContentType="application/vnd.openxmlformats-officedocument.spreadsheetml.comments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EstaPasta_de_trabalho" defaultThemeVersion="124226"/>
  <mc:AlternateContent xmlns:mc="http://schemas.openxmlformats.org/markup-compatibility/2006">
    <mc:Choice Requires="x15">
      <x15ac:absPath xmlns:x15ac="http://schemas.microsoft.com/office/spreadsheetml/2010/11/ac" url="\\fileserver\selic\LICITAÇÕES\MEUS DOCUMENTOS 2022\EDITAIS\TRE-PI-pregao-54-2022 - Serviço cabeamento estrutural\"/>
    </mc:Choice>
  </mc:AlternateContent>
  <bookViews>
    <workbookView xWindow="-105" yWindow="-105" windowWidth="38625" windowHeight="21225" tabRatio="962" activeTab="10"/>
  </bookViews>
  <sheets>
    <sheet name="DADOS DA OBRA" sheetId="551" r:id="rId1"/>
    <sheet name="RESUMO" sheetId="555" r:id="rId2"/>
    <sheet name="ORÇ. SINTÉTICO ONERADO" sheetId="220" r:id="rId3"/>
    <sheet name="ORÇ. ANÁLITICO ONERADO" sheetId="607" r:id="rId4"/>
    <sheet name="CRONOGRAMA GERAL" sheetId="561" r:id="rId5"/>
    <sheet name="CURVA ABC - SERVIÇOS" sheetId="548" r:id="rId6"/>
    <sheet name="Planilha1" sheetId="683" state="hidden" r:id="rId7"/>
    <sheet name="BDI OBRA - ONERADO" sheetId="554" r:id="rId8"/>
    <sheet name="BDI DIFERENCIADO - ONERADO" sheetId="677" r:id="rId9"/>
    <sheet name="ENCARGOS SOCIAIS" sheetId="681" r:id="rId10"/>
    <sheet name="ORÇ. SINTÉTICO DESONERADO" sheetId="682" r:id="rId11"/>
    <sheet name="BDI OBRA - DESONERADO" sheetId="678" r:id="rId12"/>
    <sheet name="BDI DIFERENCIADO - DESONERADO" sheetId="679" r:id="rId13"/>
    <sheet name="RESUMO LEVTO" sheetId="7" state="hidden" r:id="rId14"/>
  </sheets>
  <definedNames>
    <definedName name="_xlnm._FilterDatabase" localSheetId="5" hidden="1">'CURVA ABC - SERVIÇOS'!$A$13:$O$14</definedName>
    <definedName name="_xlnm._FilterDatabase" localSheetId="6" hidden="1">Planilha1!$A$1:$H$173</definedName>
    <definedName name="_xlnm.Print_Area" localSheetId="12">'BDI DIFERENCIADO - DESONERADO'!$G$16</definedName>
    <definedName name="_xlnm.Print_Area" localSheetId="8">'BDI DIFERENCIADO - ONERADO'!$A$1:$Z$52</definedName>
    <definedName name="_xlnm.Print_Area" localSheetId="11">'BDI OBRA - DESONERADO'!$G$16</definedName>
    <definedName name="_xlnm.Print_Area" localSheetId="7">'BDI OBRA - ONERADO'!$A$1:$Z$52</definedName>
    <definedName name="_xlnm.Print_Area" localSheetId="4">'CRONOGRAMA GERAL'!$A$1:$AK$59</definedName>
    <definedName name="_xlnm.Print_Area" localSheetId="5">'CURVA ABC - SERVIÇOS'!$A$1:$K$157</definedName>
    <definedName name="_xlnm.Print_Area" localSheetId="0">'DADOS DA OBRA'!$A$1:$Q$34</definedName>
    <definedName name="_xlnm.Print_Area" localSheetId="9">'ENCARGOS SOCIAIS'!$A$1:$H$51</definedName>
    <definedName name="_xlnm.Print_Area" localSheetId="3">'ORÇ. ANÁLITICO ONERADO'!$B$1:$L$1237</definedName>
    <definedName name="_xlnm.Print_Area" localSheetId="10">'ORÇ. SINTÉTICO DESONERADO'!$B$1:$T$205</definedName>
    <definedName name="_xlnm.Print_Area" localSheetId="2">'ORÇ. SINTÉTICO ONERADO'!$B$1:$U$202</definedName>
    <definedName name="_xlnm.Print_Area" localSheetId="1">RESUMO!$A$1:$L$33</definedName>
    <definedName name="_xlnm.Print_Area" localSheetId="13">'RESUMO LEVTO'!$A$1:$R$184</definedName>
    <definedName name="_xlnm.Print_Titles" localSheetId="4">'CRONOGRAMA GERAL'!$1:$15</definedName>
    <definedName name="_xlnm.Print_Titles" localSheetId="5">'CURVA ABC - SERVIÇOS'!$1:$14</definedName>
    <definedName name="_xlnm.Print_Titles" localSheetId="3">'ORÇ. ANÁLITICO ONERADO'!$1:$10</definedName>
    <definedName name="_xlnm.Print_Titles" localSheetId="10">'ORÇ. SINTÉTICO DESONERADO'!$1:$12</definedName>
    <definedName name="_xlnm.Print_Titles" localSheetId="2">'ORÇ. SINTÉTICO ONERADO'!$1:$14</definedName>
    <definedName name="_xlnm.Print_Titles" localSheetId="1">RESUMO!$1:$15</definedName>
    <definedName name="_xlnm.Print_Titles" localSheetId="13">'RESUMO LEVTO'!$1:$15</definedName>
  </definedNames>
  <calcPr calcId="18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L445" i="607" l="1"/>
  <c r="L444" i="607"/>
  <c r="L443" i="607"/>
  <c r="L442" i="607" s="1"/>
  <c r="L435" i="607" l="1"/>
  <c r="L436" i="607"/>
  <c r="L437" i="607"/>
  <c r="L434" i="607"/>
  <c r="L517" i="607"/>
  <c r="L519" i="607"/>
  <c r="L520" i="607"/>
  <c r="L521" i="607"/>
  <c r="L518" i="607"/>
  <c r="L1045" i="607"/>
  <c r="L1044" i="607"/>
  <c r="L1043" i="607"/>
  <c r="L1053" i="607"/>
  <c r="L1052" i="607"/>
  <c r="L1051" i="607"/>
  <c r="L1060" i="607"/>
  <c r="L1059" i="607"/>
  <c r="L1068" i="607"/>
  <c r="L1067" i="607"/>
  <c r="L1066" i="607"/>
  <c r="L1075" i="607"/>
  <c r="L1074" i="607"/>
  <c r="L1083" i="607"/>
  <c r="L1082" i="607"/>
  <c r="L1081" i="607"/>
  <c r="L1091" i="607"/>
  <c r="L1090" i="607"/>
  <c r="L1089" i="607"/>
  <c r="L1099" i="607"/>
  <c r="L1096" i="607" s="1"/>
  <c r="L1098" i="607"/>
  <c r="L1097" i="607"/>
  <c r="L1107" i="607"/>
  <c r="L1106" i="607"/>
  <c r="L1105" i="607"/>
  <c r="L1115" i="607"/>
  <c r="L1116" i="607"/>
  <c r="L1114" i="607"/>
  <c r="L1113" i="607"/>
  <c r="L1123" i="607"/>
  <c r="L1122" i="607"/>
  <c r="L1139" i="607"/>
  <c r="L1140" i="607"/>
  <c r="L1141" i="607"/>
  <c r="L1142" i="607"/>
  <c r="L1143" i="607"/>
  <c r="L1144" i="607"/>
  <c r="L1145" i="607"/>
  <c r="L1065" i="607" l="1"/>
  <c r="L1112" i="607"/>
  <c r="L1050" i="607"/>
  <c r="L1073" i="607"/>
  <c r="L516" i="607"/>
  <c r="L1088" i="607"/>
  <c r="L1042" i="607"/>
  <c r="L433" i="607"/>
  <c r="L1121" i="607"/>
  <c r="L1104" i="607"/>
  <c r="L1080" i="607"/>
  <c r="L1058" i="607"/>
  <c r="L1138" i="607"/>
  <c r="I67" i="220" l="1"/>
  <c r="H156" i="548" l="1"/>
  <c r="L147" i="220" l="1"/>
  <c r="K147" i="220"/>
  <c r="J147" i="220"/>
  <c r="I111" i="220"/>
  <c r="I110" i="220"/>
  <c r="I64" i="220"/>
  <c r="I51" i="220"/>
  <c r="J51" i="220" s="1"/>
  <c r="J50" i="220"/>
  <c r="J49" i="220"/>
  <c r="I48" i="220"/>
  <c r="I36" i="220"/>
  <c r="L194" i="682"/>
  <c r="L193" i="682" s="1"/>
  <c r="K194" i="682"/>
  <c r="J194" i="682"/>
  <c r="K193" i="682"/>
  <c r="J193" i="682"/>
  <c r="L192" i="682"/>
  <c r="K192" i="682"/>
  <c r="J192" i="682"/>
  <c r="L191" i="682"/>
  <c r="L190" i="682" s="1"/>
  <c r="K191" i="682"/>
  <c r="J191" i="682"/>
  <c r="J190" i="682"/>
  <c r="L189" i="682"/>
  <c r="K189" i="682"/>
  <c r="J189" i="682"/>
  <c r="L188" i="682"/>
  <c r="K188" i="682"/>
  <c r="J188" i="682"/>
  <c r="L187" i="682"/>
  <c r="K187" i="682"/>
  <c r="J187" i="682"/>
  <c r="L186" i="682"/>
  <c r="K186" i="682"/>
  <c r="J186" i="682"/>
  <c r="L185" i="682"/>
  <c r="K185" i="682"/>
  <c r="J185" i="682"/>
  <c r="L184" i="682"/>
  <c r="K184" i="682"/>
  <c r="J184" i="682"/>
  <c r="L183" i="682"/>
  <c r="K183" i="682"/>
  <c r="J183" i="682"/>
  <c r="L182" i="682"/>
  <c r="K182" i="682"/>
  <c r="J182" i="682"/>
  <c r="L181" i="682"/>
  <c r="K181" i="682"/>
  <c r="J181" i="682"/>
  <c r="L180" i="682"/>
  <c r="K180" i="682"/>
  <c r="J180" i="682"/>
  <c r="J179" i="682"/>
  <c r="L178" i="682"/>
  <c r="K178" i="682"/>
  <c r="J178" i="682"/>
  <c r="L177" i="682"/>
  <c r="K177" i="682"/>
  <c r="J177" i="682"/>
  <c r="L176" i="682"/>
  <c r="K176" i="682"/>
  <c r="M176" i="682" s="1"/>
  <c r="J176" i="682"/>
  <c r="L175" i="682"/>
  <c r="K175" i="682"/>
  <c r="J175" i="682"/>
  <c r="L174" i="682"/>
  <c r="K174" i="682"/>
  <c r="J174" i="682"/>
  <c r="L173" i="682"/>
  <c r="K173" i="682"/>
  <c r="J173" i="682"/>
  <c r="L172" i="682"/>
  <c r="K172" i="682"/>
  <c r="J172" i="682"/>
  <c r="L171" i="682"/>
  <c r="K171" i="682"/>
  <c r="J171" i="682"/>
  <c r="L170" i="682"/>
  <c r="K170" i="682"/>
  <c r="J170" i="682"/>
  <c r="L169" i="682"/>
  <c r="K169" i="682"/>
  <c r="J169" i="682"/>
  <c r="L168" i="682"/>
  <c r="K168" i="682"/>
  <c r="J168" i="682"/>
  <c r="L167" i="682"/>
  <c r="K167" i="682"/>
  <c r="J167" i="682"/>
  <c r="J166" i="682"/>
  <c r="L165" i="682"/>
  <c r="K165" i="682"/>
  <c r="J165" i="682"/>
  <c r="L164" i="682"/>
  <c r="K164" i="682"/>
  <c r="J164" i="682"/>
  <c r="L163" i="682"/>
  <c r="K163" i="682"/>
  <c r="J163" i="682"/>
  <c r="L162" i="682"/>
  <c r="K162" i="682"/>
  <c r="J162" i="682"/>
  <c r="L161" i="682"/>
  <c r="K161" i="682"/>
  <c r="M161" i="682" s="1"/>
  <c r="J161" i="682"/>
  <c r="L160" i="682"/>
  <c r="K160" i="682"/>
  <c r="J160" i="682"/>
  <c r="L159" i="682"/>
  <c r="K159" i="682"/>
  <c r="J159" i="682"/>
  <c r="L158" i="682"/>
  <c r="K158" i="682"/>
  <c r="J158" i="682"/>
  <c r="L157" i="682"/>
  <c r="K157" i="682"/>
  <c r="J157" i="682"/>
  <c r="L156" i="682"/>
  <c r="K156" i="682"/>
  <c r="J156" i="682"/>
  <c r="L155" i="682"/>
  <c r="K155" i="682"/>
  <c r="J155" i="682"/>
  <c r="L154" i="682"/>
  <c r="K154" i="682"/>
  <c r="J154" i="682"/>
  <c r="J153" i="682"/>
  <c r="L152" i="682"/>
  <c r="K152" i="682"/>
  <c r="J152" i="682"/>
  <c r="L151" i="682"/>
  <c r="K151" i="682"/>
  <c r="J151" i="682"/>
  <c r="L150" i="682"/>
  <c r="K150" i="682"/>
  <c r="J150" i="682"/>
  <c r="J149" i="682"/>
  <c r="L148" i="682"/>
  <c r="K148" i="682"/>
  <c r="J148" i="682"/>
  <c r="L147" i="682"/>
  <c r="K147" i="682"/>
  <c r="J147" i="682"/>
  <c r="L146" i="682"/>
  <c r="M146" i="682" s="1"/>
  <c r="K146" i="682"/>
  <c r="J146" i="682"/>
  <c r="L145" i="682"/>
  <c r="K145" i="682"/>
  <c r="J145" i="682"/>
  <c r="L144" i="682"/>
  <c r="K144" i="682"/>
  <c r="J144" i="682"/>
  <c r="L143" i="682"/>
  <c r="K143" i="682"/>
  <c r="M143" i="682" s="1"/>
  <c r="J143" i="682"/>
  <c r="J142" i="682"/>
  <c r="L141" i="682"/>
  <c r="K141" i="682"/>
  <c r="M141" i="682" s="1"/>
  <c r="J141" i="682"/>
  <c r="L140" i="682"/>
  <c r="K140" i="682"/>
  <c r="J140" i="682"/>
  <c r="J139" i="682"/>
  <c r="L138" i="682"/>
  <c r="K138" i="682"/>
  <c r="M138" i="682" s="1"/>
  <c r="J138" i="682"/>
  <c r="L137" i="682"/>
  <c r="K137" i="682"/>
  <c r="J137" i="682"/>
  <c r="L136" i="682"/>
  <c r="K136" i="682"/>
  <c r="J136" i="682"/>
  <c r="L135" i="682"/>
  <c r="K135" i="682"/>
  <c r="J135" i="682"/>
  <c r="L134" i="682"/>
  <c r="K134" i="682"/>
  <c r="J134" i="682"/>
  <c r="L133" i="682"/>
  <c r="M133" i="682" s="1"/>
  <c r="K133" i="682"/>
  <c r="J133" i="682"/>
  <c r="L132" i="682"/>
  <c r="K132" i="682"/>
  <c r="J132" i="682"/>
  <c r="L131" i="682"/>
  <c r="K131" i="682"/>
  <c r="J131" i="682"/>
  <c r="L130" i="682"/>
  <c r="K130" i="682"/>
  <c r="M130" i="682" s="1"/>
  <c r="J130" i="682"/>
  <c r="J129" i="682"/>
  <c r="L128" i="682"/>
  <c r="K128" i="682"/>
  <c r="J128" i="682"/>
  <c r="L127" i="682"/>
  <c r="K127" i="682"/>
  <c r="K126" i="682" s="1"/>
  <c r="J127" i="682"/>
  <c r="J126" i="682"/>
  <c r="L125" i="682"/>
  <c r="K125" i="682"/>
  <c r="J125" i="682"/>
  <c r="L124" i="682"/>
  <c r="K124" i="682"/>
  <c r="J124" i="682"/>
  <c r="L123" i="682"/>
  <c r="K123" i="682"/>
  <c r="K122" i="682" s="1"/>
  <c r="J123" i="682"/>
  <c r="J122" i="682"/>
  <c r="L121" i="682"/>
  <c r="L120" i="682" s="1"/>
  <c r="K121" i="682"/>
  <c r="J121" i="682"/>
  <c r="J119" i="682"/>
  <c r="L117" i="682"/>
  <c r="K117" i="682"/>
  <c r="J117" i="682"/>
  <c r="L116" i="682"/>
  <c r="K116" i="682"/>
  <c r="J116" i="682"/>
  <c r="J115" i="682"/>
  <c r="L113" i="682"/>
  <c r="K113" i="682"/>
  <c r="M113" i="682" s="1"/>
  <c r="J113" i="682"/>
  <c r="L112" i="682"/>
  <c r="K112" i="682"/>
  <c r="J112" i="682"/>
  <c r="L111" i="682"/>
  <c r="K111" i="682"/>
  <c r="J111" i="682"/>
  <c r="L110" i="682"/>
  <c r="K110" i="682"/>
  <c r="J110" i="682"/>
  <c r="L109" i="682"/>
  <c r="K109" i="682"/>
  <c r="J109" i="682"/>
  <c r="J108" i="682"/>
  <c r="G108" i="682"/>
  <c r="L107" i="682"/>
  <c r="K107" i="682"/>
  <c r="J107" i="682"/>
  <c r="L106" i="682"/>
  <c r="K106" i="682"/>
  <c r="J106" i="682"/>
  <c r="L105" i="682"/>
  <c r="K105" i="682"/>
  <c r="J105" i="682"/>
  <c r="L104" i="682"/>
  <c r="K104" i="682"/>
  <c r="J104" i="682"/>
  <c r="L102" i="682"/>
  <c r="K102" i="682"/>
  <c r="J102" i="682"/>
  <c r="L101" i="682"/>
  <c r="K101" i="682"/>
  <c r="J101" i="682"/>
  <c r="L100" i="682"/>
  <c r="K100" i="682"/>
  <c r="J100" i="682"/>
  <c r="L99" i="682"/>
  <c r="K99" i="682"/>
  <c r="J99" i="682"/>
  <c r="L98" i="682"/>
  <c r="K98" i="682"/>
  <c r="J98" i="682"/>
  <c r="L97" i="682"/>
  <c r="K97" i="682"/>
  <c r="J97" i="682"/>
  <c r="L96" i="682"/>
  <c r="K96" i="682"/>
  <c r="J96" i="682"/>
  <c r="L95" i="682"/>
  <c r="K95" i="682"/>
  <c r="J95" i="682"/>
  <c r="L94" i="682"/>
  <c r="K94" i="682"/>
  <c r="J94" i="682"/>
  <c r="L93" i="682"/>
  <c r="K93" i="682"/>
  <c r="M93" i="682" s="1"/>
  <c r="J93" i="682"/>
  <c r="L92" i="682"/>
  <c r="K92" i="682"/>
  <c r="J92" i="682"/>
  <c r="L91" i="682"/>
  <c r="K91" i="682"/>
  <c r="J91" i="682"/>
  <c r="L90" i="682"/>
  <c r="K90" i="682"/>
  <c r="J90" i="682"/>
  <c r="L89" i="682"/>
  <c r="K89" i="682"/>
  <c r="J89" i="682"/>
  <c r="L88" i="682"/>
  <c r="K88" i="682"/>
  <c r="J88" i="682"/>
  <c r="L87" i="682"/>
  <c r="K87" i="682"/>
  <c r="J87" i="682"/>
  <c r="L86" i="682"/>
  <c r="K86" i="682"/>
  <c r="M86" i="682" s="1"/>
  <c r="J86" i="682"/>
  <c r="L85" i="682"/>
  <c r="K85" i="682"/>
  <c r="J85" i="682"/>
  <c r="L84" i="682"/>
  <c r="K84" i="682"/>
  <c r="J84" i="682"/>
  <c r="L83" i="682"/>
  <c r="K83" i="682"/>
  <c r="J83" i="682"/>
  <c r="L82" i="682"/>
  <c r="K82" i="682"/>
  <c r="J82" i="682"/>
  <c r="L81" i="682"/>
  <c r="K81" i="682"/>
  <c r="J81" i="682"/>
  <c r="J80" i="682"/>
  <c r="L79" i="682"/>
  <c r="K79" i="682"/>
  <c r="J79" i="682"/>
  <c r="L78" i="682"/>
  <c r="K78" i="682"/>
  <c r="J78" i="682"/>
  <c r="L77" i="682"/>
  <c r="K77" i="682"/>
  <c r="J77" i="682"/>
  <c r="L76" i="682"/>
  <c r="K76" i="682"/>
  <c r="J76" i="682"/>
  <c r="L75" i="682"/>
  <c r="K75" i="682"/>
  <c r="J75" i="682"/>
  <c r="L74" i="682"/>
  <c r="K74" i="682"/>
  <c r="J74" i="682"/>
  <c r="L73" i="682"/>
  <c r="K73" i="682"/>
  <c r="J73" i="682"/>
  <c r="L72" i="682"/>
  <c r="K72" i="682"/>
  <c r="M72" i="682" s="1"/>
  <c r="J72" i="682"/>
  <c r="L71" i="682"/>
  <c r="K71" i="682"/>
  <c r="M71" i="682" s="1"/>
  <c r="J71" i="682"/>
  <c r="J70" i="682"/>
  <c r="L68" i="682"/>
  <c r="K68" i="682"/>
  <c r="J68" i="682"/>
  <c r="L67" i="682"/>
  <c r="K67" i="682"/>
  <c r="J67" i="682"/>
  <c r="L66" i="682"/>
  <c r="K66" i="682"/>
  <c r="J66" i="682"/>
  <c r="L65" i="682"/>
  <c r="K65" i="682"/>
  <c r="J65" i="682"/>
  <c r="L64" i="682"/>
  <c r="K64" i="682"/>
  <c r="J64" i="682"/>
  <c r="L63" i="682"/>
  <c r="K63" i="682"/>
  <c r="J63" i="682"/>
  <c r="J62" i="682"/>
  <c r="L60" i="682"/>
  <c r="L59" i="682" s="1"/>
  <c r="K60" i="682"/>
  <c r="J60" i="682"/>
  <c r="K59" i="682"/>
  <c r="J59" i="682"/>
  <c r="L57" i="682"/>
  <c r="K57" i="682"/>
  <c r="J57" i="682"/>
  <c r="L56" i="682"/>
  <c r="K56" i="682"/>
  <c r="J56" i="682"/>
  <c r="L55" i="682"/>
  <c r="K55" i="682"/>
  <c r="J55" i="682"/>
  <c r="L54" i="682"/>
  <c r="K54" i="682"/>
  <c r="M54" i="682" s="1"/>
  <c r="J54" i="682"/>
  <c r="L53" i="682"/>
  <c r="K53" i="682"/>
  <c r="M53" i="682" s="1"/>
  <c r="J53" i="682"/>
  <c r="J52" i="682"/>
  <c r="L51" i="682"/>
  <c r="K51" i="682"/>
  <c r="J51" i="682"/>
  <c r="L50" i="682"/>
  <c r="K50" i="682"/>
  <c r="J50" i="682"/>
  <c r="L49" i="682"/>
  <c r="M49" i="682" s="1"/>
  <c r="K49" i="682"/>
  <c r="J49" i="682"/>
  <c r="L48" i="682"/>
  <c r="K48" i="682"/>
  <c r="M48" i="682" s="1"/>
  <c r="J48" i="682"/>
  <c r="L47" i="682"/>
  <c r="K47" i="682"/>
  <c r="M47" i="682" s="1"/>
  <c r="J47" i="682"/>
  <c r="L46" i="682"/>
  <c r="K46" i="682"/>
  <c r="J46" i="682"/>
  <c r="L45" i="682"/>
  <c r="K45" i="682"/>
  <c r="J45" i="682"/>
  <c r="L44" i="682"/>
  <c r="K44" i="682"/>
  <c r="J44" i="682"/>
  <c r="L43" i="682"/>
  <c r="K43" i="682"/>
  <c r="J43" i="682"/>
  <c r="L39" i="682"/>
  <c r="L38" i="682" s="1"/>
  <c r="K39" i="682"/>
  <c r="J39" i="682"/>
  <c r="J36" i="682"/>
  <c r="G36" i="682"/>
  <c r="K36" i="682" s="1"/>
  <c r="J35" i="682"/>
  <c r="G35" i="682"/>
  <c r="L35" i="682" s="1"/>
  <c r="J34" i="682"/>
  <c r="G34" i="682"/>
  <c r="J33" i="682"/>
  <c r="G33" i="682"/>
  <c r="K33" i="682" s="1"/>
  <c r="J32" i="682"/>
  <c r="J31" i="682"/>
  <c r="G31" i="682"/>
  <c r="K31" i="682" s="1"/>
  <c r="L30" i="682"/>
  <c r="K30" i="682"/>
  <c r="J30" i="682"/>
  <c r="L29" i="682"/>
  <c r="K29" i="682"/>
  <c r="J29" i="682"/>
  <c r="L26" i="682"/>
  <c r="K26" i="682"/>
  <c r="J26" i="682"/>
  <c r="L25" i="682"/>
  <c r="K25" i="682"/>
  <c r="J25" i="682"/>
  <c r="L24" i="682"/>
  <c r="K24" i="682"/>
  <c r="J24" i="682"/>
  <c r="L23" i="682"/>
  <c r="K23" i="682"/>
  <c r="M23" i="682" s="1"/>
  <c r="J23" i="682"/>
  <c r="L22" i="682"/>
  <c r="K22" i="682"/>
  <c r="J22" i="682"/>
  <c r="L21" i="682"/>
  <c r="K21" i="682"/>
  <c r="J21" i="682"/>
  <c r="L18" i="682"/>
  <c r="K18" i="682"/>
  <c r="J18" i="682"/>
  <c r="L17" i="682"/>
  <c r="K17" i="682"/>
  <c r="J17" i="682"/>
  <c r="L16" i="682"/>
  <c r="K16" i="682"/>
  <c r="J16" i="682"/>
  <c r="B47" i="678"/>
  <c r="B47" i="554"/>
  <c r="J114" i="220"/>
  <c r="K114" i="220"/>
  <c r="L114" i="220"/>
  <c r="G109" i="220"/>
  <c r="K15" i="682" l="1"/>
  <c r="M156" i="682"/>
  <c r="M45" i="682"/>
  <c r="M180" i="682"/>
  <c r="M21" i="682"/>
  <c r="L139" i="682"/>
  <c r="M175" i="682"/>
  <c r="M181" i="682"/>
  <c r="M68" i="682"/>
  <c r="M160" i="682"/>
  <c r="M165" i="682"/>
  <c r="K62" i="682"/>
  <c r="K139" i="682"/>
  <c r="M76" i="682"/>
  <c r="M82" i="682"/>
  <c r="M111" i="682"/>
  <c r="M24" i="682"/>
  <c r="M73" i="682"/>
  <c r="M95" i="682"/>
  <c r="M100" i="682"/>
  <c r="M112" i="682"/>
  <c r="M125" i="682"/>
  <c r="L126" i="682"/>
  <c r="M152" i="682"/>
  <c r="M191" i="682"/>
  <c r="M190" i="682" s="1"/>
  <c r="M194" i="682"/>
  <c r="M193" i="682" s="1"/>
  <c r="M67" i="682"/>
  <c r="M96" i="682"/>
  <c r="M105" i="682"/>
  <c r="L149" i="682"/>
  <c r="M178" i="682"/>
  <c r="M154" i="682"/>
  <c r="M187" i="682"/>
  <c r="K190" i="682"/>
  <c r="M147" i="220"/>
  <c r="L122" i="682"/>
  <c r="M101" i="682"/>
  <c r="M135" i="682"/>
  <c r="M174" i="682"/>
  <c r="M182" i="682"/>
  <c r="L31" i="682"/>
  <c r="G32" i="682"/>
  <c r="K32" i="682" s="1"/>
  <c r="M51" i="682"/>
  <c r="M65" i="682"/>
  <c r="M74" i="682"/>
  <c r="M83" i="682"/>
  <c r="M99" i="682"/>
  <c r="M127" i="682"/>
  <c r="M126" i="682" s="1"/>
  <c r="M144" i="682"/>
  <c r="M158" i="682"/>
  <c r="M169" i="682"/>
  <c r="M185" i="682"/>
  <c r="M25" i="682"/>
  <c r="M102" i="682"/>
  <c r="M106" i="682"/>
  <c r="M116" i="682"/>
  <c r="M136" i="682"/>
  <c r="K166" i="682"/>
  <c r="M30" i="682"/>
  <c r="M44" i="682"/>
  <c r="L52" i="682"/>
  <c r="M66" i="682"/>
  <c r="M78" i="682"/>
  <c r="M84" i="682"/>
  <c r="M92" i="682"/>
  <c r="L115" i="682"/>
  <c r="M128" i="682"/>
  <c r="M134" i="682"/>
  <c r="M148" i="682"/>
  <c r="M151" i="682"/>
  <c r="M159" i="682"/>
  <c r="M170" i="682"/>
  <c r="M183" i="682"/>
  <c r="M186" i="682"/>
  <c r="M26" i="682"/>
  <c r="M50" i="682"/>
  <c r="M56" i="682"/>
  <c r="M90" i="682"/>
  <c r="M107" i="682"/>
  <c r="M110" i="682"/>
  <c r="M117" i="682"/>
  <c r="M132" i="682"/>
  <c r="M157" i="682"/>
  <c r="M162" i="682"/>
  <c r="M168" i="682"/>
  <c r="M189" i="682"/>
  <c r="M192" i="682"/>
  <c r="M114" i="220"/>
  <c r="M43" i="682"/>
  <c r="M79" i="682"/>
  <c r="K129" i="682"/>
  <c r="M167" i="682"/>
  <c r="L33" i="682"/>
  <c r="M33" i="682" s="1"/>
  <c r="L36" i="682"/>
  <c r="M36" i="682" s="1"/>
  <c r="L62" i="682"/>
  <c r="K20" i="682"/>
  <c r="M39" i="682"/>
  <c r="M38" i="682" s="1"/>
  <c r="K38" i="682"/>
  <c r="M17" i="682"/>
  <c r="M77" i="682"/>
  <c r="M81" i="682"/>
  <c r="M89" i="682"/>
  <c r="M91" i="682"/>
  <c r="M63" i="682"/>
  <c r="M124" i="682"/>
  <c r="M140" i="682"/>
  <c r="M139" i="682" s="1"/>
  <c r="M163" i="682"/>
  <c r="M172" i="682"/>
  <c r="M173" i="682"/>
  <c r="M188" i="682"/>
  <c r="M87" i="682"/>
  <c r="M88" i="682"/>
  <c r="M94" i="682"/>
  <c r="M98" i="682"/>
  <c r="L129" i="682"/>
  <c r="K80" i="682"/>
  <c r="K142" i="682"/>
  <c r="M31" i="682"/>
  <c r="M46" i="682"/>
  <c r="M55" i="682"/>
  <c r="M57" i="682"/>
  <c r="M64" i="682"/>
  <c r="M75" i="682"/>
  <c r="L80" i="682"/>
  <c r="M97" i="682"/>
  <c r="M109" i="682"/>
  <c r="L153" i="682"/>
  <c r="M164" i="682"/>
  <c r="M18" i="682"/>
  <c r="L15" i="682"/>
  <c r="K52" i="682"/>
  <c r="M29" i="682"/>
  <c r="L20" i="682"/>
  <c r="M22" i="682"/>
  <c r="L42" i="682"/>
  <c r="K34" i="682"/>
  <c r="L34" i="682"/>
  <c r="M16" i="682"/>
  <c r="K42" i="682"/>
  <c r="K41" i="682" s="1"/>
  <c r="M60" i="682"/>
  <c r="M59" i="682" s="1"/>
  <c r="K108" i="682"/>
  <c r="M121" i="682"/>
  <c r="M120" i="682" s="1"/>
  <c r="K120" i="682"/>
  <c r="M123" i="682"/>
  <c r="L108" i="682"/>
  <c r="L103" i="682" s="1"/>
  <c r="M131" i="682"/>
  <c r="M147" i="682"/>
  <c r="K153" i="682"/>
  <c r="M85" i="682"/>
  <c r="L142" i="682"/>
  <c r="M155" i="682"/>
  <c r="K179" i="682"/>
  <c r="K115" i="682"/>
  <c r="K35" i="682"/>
  <c r="M35" i="682" s="1"/>
  <c r="K70" i="682"/>
  <c r="L179" i="682"/>
  <c r="L70" i="682"/>
  <c r="M104" i="682"/>
  <c r="K149" i="682"/>
  <c r="M150" i="682"/>
  <c r="M184" i="682"/>
  <c r="M137" i="682"/>
  <c r="M145" i="682"/>
  <c r="M171" i="682"/>
  <c r="L166" i="682"/>
  <c r="M177" i="682"/>
  <c r="J57" i="220"/>
  <c r="K57" i="220"/>
  <c r="L57" i="220"/>
  <c r="J176" i="220"/>
  <c r="K176" i="220"/>
  <c r="L176" i="220"/>
  <c r="J163" i="220"/>
  <c r="K163" i="220"/>
  <c r="L163" i="220"/>
  <c r="M42" i="682" l="1"/>
  <c r="M115" i="682"/>
  <c r="L32" i="682"/>
  <c r="L28" i="682" s="1"/>
  <c r="M70" i="682"/>
  <c r="M149" i="682"/>
  <c r="L41" i="682"/>
  <c r="M20" i="682"/>
  <c r="M179" i="682"/>
  <c r="M153" i="682"/>
  <c r="M62" i="682"/>
  <c r="M52" i="682"/>
  <c r="M41" i="682" s="1"/>
  <c r="M142" i="682"/>
  <c r="M80" i="682"/>
  <c r="M166" i="682"/>
  <c r="M32" i="682"/>
  <c r="M15" i="682"/>
  <c r="L119" i="682"/>
  <c r="M129" i="682"/>
  <c r="M122" i="682"/>
  <c r="M34" i="682"/>
  <c r="M108" i="682"/>
  <c r="M103" i="682" s="1"/>
  <c r="K103" i="682"/>
  <c r="K28" i="682"/>
  <c r="K119" i="682"/>
  <c r="I15" i="548"/>
  <c r="I145" i="548"/>
  <c r="I153" i="548"/>
  <c r="I152" i="548"/>
  <c r="I146" i="548"/>
  <c r="I154" i="548"/>
  <c r="I141" i="548"/>
  <c r="I150" i="548"/>
  <c r="I139" i="548"/>
  <c r="I147" i="548"/>
  <c r="I155" i="548"/>
  <c r="I149" i="548"/>
  <c r="I142" i="548"/>
  <c r="I143" i="548"/>
  <c r="I144" i="548"/>
  <c r="I140" i="548"/>
  <c r="I148" i="548"/>
  <c r="I151" i="548"/>
  <c r="M57" i="220"/>
  <c r="M163" i="220"/>
  <c r="M176" i="220"/>
  <c r="I116" i="548"/>
  <c r="I100" i="548"/>
  <c r="I76" i="548"/>
  <c r="I44" i="548"/>
  <c r="I115" i="548"/>
  <c r="I67" i="548"/>
  <c r="I51" i="548"/>
  <c r="I133" i="548"/>
  <c r="I125" i="548"/>
  <c r="I117" i="548"/>
  <c r="I109" i="548"/>
  <c r="I101" i="548"/>
  <c r="I93" i="548"/>
  <c r="I85" i="548"/>
  <c r="I77" i="548"/>
  <c r="I69" i="548"/>
  <c r="I52" i="548"/>
  <c r="I54" i="548"/>
  <c r="I45" i="548"/>
  <c r="I37" i="548"/>
  <c r="I25" i="548"/>
  <c r="I21" i="548"/>
  <c r="I20" i="548"/>
  <c r="I19" i="548"/>
  <c r="I61" i="548"/>
  <c r="I99" i="548"/>
  <c r="I114" i="548"/>
  <c r="I82" i="548"/>
  <c r="I59" i="548"/>
  <c r="I42" i="548"/>
  <c r="I28" i="548"/>
  <c r="I18" i="548"/>
  <c r="I53" i="548"/>
  <c r="I91" i="548"/>
  <c r="I106" i="548"/>
  <c r="I137" i="548"/>
  <c r="I89" i="548"/>
  <c r="I81" i="548"/>
  <c r="I73" i="548"/>
  <c r="I65" i="548"/>
  <c r="I58" i="548"/>
  <c r="I49" i="548"/>
  <c r="I41" i="548"/>
  <c r="I33" i="548"/>
  <c r="I27" i="548"/>
  <c r="I17" i="548"/>
  <c r="I124" i="548"/>
  <c r="I92" i="548"/>
  <c r="I68" i="548"/>
  <c r="I36" i="548"/>
  <c r="I107" i="548"/>
  <c r="I60" i="548"/>
  <c r="I43" i="548"/>
  <c r="I138" i="548"/>
  <c r="I122" i="548"/>
  <c r="I98" i="548"/>
  <c r="I90" i="548"/>
  <c r="I74" i="548"/>
  <c r="I66" i="548"/>
  <c r="I50" i="548"/>
  <c r="I34" i="548"/>
  <c r="I129" i="548"/>
  <c r="I121" i="548"/>
  <c r="I113" i="548"/>
  <c r="I105" i="548"/>
  <c r="I97" i="548"/>
  <c r="I136" i="548"/>
  <c r="I128" i="548"/>
  <c r="I120" i="548"/>
  <c r="I112" i="548"/>
  <c r="I104" i="548"/>
  <c r="I96" i="548"/>
  <c r="I88" i="548"/>
  <c r="I80" i="548"/>
  <c r="I72" i="548"/>
  <c r="I62" i="548"/>
  <c r="I57" i="548"/>
  <c r="I48" i="548"/>
  <c r="I40" i="548"/>
  <c r="I32" i="548"/>
  <c r="I26" i="548"/>
  <c r="I16" i="548"/>
  <c r="I132" i="548"/>
  <c r="I108" i="548"/>
  <c r="I84" i="548"/>
  <c r="I29" i="548"/>
  <c r="I123" i="548"/>
  <c r="I75" i="548"/>
  <c r="I35" i="548"/>
  <c r="I135" i="548"/>
  <c r="I127" i="548"/>
  <c r="I119" i="548"/>
  <c r="I111" i="548"/>
  <c r="I103" i="548"/>
  <c r="I95" i="548"/>
  <c r="I87" i="548"/>
  <c r="I79" i="548"/>
  <c r="I71" i="548"/>
  <c r="I64" i="548"/>
  <c r="I56" i="548"/>
  <c r="I47" i="548"/>
  <c r="I39" i="548"/>
  <c r="I31" i="548"/>
  <c r="I24" i="548"/>
  <c r="I131" i="548"/>
  <c r="I83" i="548"/>
  <c r="I22" i="548"/>
  <c r="I130" i="548"/>
  <c r="I134" i="548"/>
  <c r="I126" i="548"/>
  <c r="I118" i="548"/>
  <c r="I110" i="548"/>
  <c r="I102" i="548"/>
  <c r="I94" i="548"/>
  <c r="I86" i="548"/>
  <c r="I78" i="548"/>
  <c r="I70" i="548"/>
  <c r="I63" i="548"/>
  <c r="I55" i="548"/>
  <c r="I46" i="548"/>
  <c r="I38" i="548"/>
  <c r="I30" i="548"/>
  <c r="I23" i="548"/>
  <c r="L198" i="682" l="1"/>
  <c r="M28" i="682"/>
  <c r="M119" i="682"/>
  <c r="M198" i="682" s="1"/>
  <c r="K198" i="682"/>
  <c r="K36" i="220"/>
  <c r="G35" i="220"/>
  <c r="K35" i="220" s="1"/>
  <c r="G34" i="220"/>
  <c r="K34" i="220" s="1"/>
  <c r="G33" i="220"/>
  <c r="K33" i="220" s="1"/>
  <c r="G31" i="220"/>
  <c r="L31" i="220" s="1"/>
  <c r="J31" i="220"/>
  <c r="J32" i="220"/>
  <c r="J33" i="220"/>
  <c r="J34" i="220"/>
  <c r="J35" i="220"/>
  <c r="J36" i="220"/>
  <c r="J30" i="220"/>
  <c r="L34" i="220" l="1"/>
  <c r="M34" i="220" s="1"/>
  <c r="L36" i="220"/>
  <c r="M36" i="220" s="1"/>
  <c r="L35" i="220"/>
  <c r="M35" i="220" s="1"/>
  <c r="L33" i="220"/>
  <c r="M33" i="220" s="1"/>
  <c r="K31" i="220"/>
  <c r="M31" i="220" s="1"/>
  <c r="G32" i="220"/>
  <c r="J26" i="220"/>
  <c r="K26" i="220"/>
  <c r="L26" i="220"/>
  <c r="J181" i="220"/>
  <c r="K181" i="220"/>
  <c r="L181" i="220"/>
  <c r="J168" i="220"/>
  <c r="K168" i="220"/>
  <c r="L168" i="220"/>
  <c r="L32" i="220" l="1"/>
  <c r="K32" i="220"/>
  <c r="M26" i="220"/>
  <c r="M181" i="220"/>
  <c r="M168" i="220"/>
  <c r="M32" i="220" l="1"/>
  <c r="J68" i="220"/>
  <c r="K68" i="220"/>
  <c r="L68" i="220"/>
  <c r="J69" i="220"/>
  <c r="K69" i="220"/>
  <c r="L69" i="220"/>
  <c r="M69" i="220" l="1"/>
  <c r="M68" i="220"/>
  <c r="G4" i="683"/>
  <c r="G5" i="683"/>
  <c r="H5" i="683" s="1"/>
  <c r="G6" i="683"/>
  <c r="H6" i="683" s="1"/>
  <c r="G7" i="683"/>
  <c r="H7" i="683" s="1"/>
  <c r="G8" i="683"/>
  <c r="H8" i="683" s="1"/>
  <c r="G9" i="683"/>
  <c r="H9" i="683" s="1"/>
  <c r="G10" i="683"/>
  <c r="G11" i="683"/>
  <c r="H11" i="683" s="1"/>
  <c r="G12" i="683"/>
  <c r="H12" i="683" s="1"/>
  <c r="G13" i="683"/>
  <c r="H13" i="683" s="1"/>
  <c r="G14" i="683"/>
  <c r="H14" i="683" s="1"/>
  <c r="G15" i="683"/>
  <c r="H15" i="683" s="1"/>
  <c r="G16" i="683"/>
  <c r="H16" i="683" s="1"/>
  <c r="G17" i="683"/>
  <c r="H17" i="683" s="1"/>
  <c r="G18" i="683"/>
  <c r="G19" i="683"/>
  <c r="H19" i="683" s="1"/>
  <c r="G20" i="683"/>
  <c r="G21" i="683"/>
  <c r="H21" i="683" s="1"/>
  <c r="G22" i="683"/>
  <c r="H22" i="683" s="1"/>
  <c r="G23" i="683"/>
  <c r="H23" i="683" s="1"/>
  <c r="G24" i="683"/>
  <c r="H24" i="683" s="1"/>
  <c r="G25" i="683"/>
  <c r="G26" i="683"/>
  <c r="G27" i="683"/>
  <c r="H27" i="683" s="1"/>
  <c r="G28" i="683"/>
  <c r="H28" i="683" s="1"/>
  <c r="G29" i="683"/>
  <c r="H29" i="683" s="1"/>
  <c r="G30" i="683"/>
  <c r="H30" i="683" s="1"/>
  <c r="G31" i="683"/>
  <c r="H31" i="683" s="1"/>
  <c r="G32" i="683"/>
  <c r="H32" i="683" s="1"/>
  <c r="G33" i="683"/>
  <c r="H33" i="683" s="1"/>
  <c r="G34" i="683"/>
  <c r="G35" i="683"/>
  <c r="H35" i="683" s="1"/>
  <c r="G36" i="683"/>
  <c r="G37" i="683"/>
  <c r="H37" i="683" s="1"/>
  <c r="G38" i="683"/>
  <c r="H38" i="683" s="1"/>
  <c r="G39" i="683"/>
  <c r="H39" i="683" s="1"/>
  <c r="G40" i="683"/>
  <c r="H40" i="683" s="1"/>
  <c r="G41" i="683"/>
  <c r="H41" i="683" s="1"/>
  <c r="G42" i="683"/>
  <c r="G43" i="683"/>
  <c r="H43" i="683" s="1"/>
  <c r="G44" i="683"/>
  <c r="H44" i="683" s="1"/>
  <c r="G45" i="683"/>
  <c r="H45" i="683" s="1"/>
  <c r="G46" i="683"/>
  <c r="H46" i="683" s="1"/>
  <c r="G47" i="683"/>
  <c r="H47" i="683" s="1"/>
  <c r="G48" i="683"/>
  <c r="H48" i="683" s="1"/>
  <c r="G49" i="683"/>
  <c r="H49" i="683" s="1"/>
  <c r="G50" i="683"/>
  <c r="G51" i="683"/>
  <c r="H51" i="683" s="1"/>
  <c r="G52" i="683"/>
  <c r="G53" i="683"/>
  <c r="H53" i="683" s="1"/>
  <c r="G54" i="683"/>
  <c r="H54" i="683" s="1"/>
  <c r="G55" i="683"/>
  <c r="H55" i="683" s="1"/>
  <c r="G56" i="683"/>
  <c r="H56" i="683" s="1"/>
  <c r="G57" i="683"/>
  <c r="G58" i="683"/>
  <c r="G59" i="683"/>
  <c r="H59" i="683" s="1"/>
  <c r="G60" i="683"/>
  <c r="H60" i="683" s="1"/>
  <c r="G61" i="683"/>
  <c r="H61" i="683" s="1"/>
  <c r="G62" i="683"/>
  <c r="H62" i="683" s="1"/>
  <c r="G63" i="683"/>
  <c r="H63" i="683" s="1"/>
  <c r="G64" i="683"/>
  <c r="H64" i="683" s="1"/>
  <c r="G65" i="683"/>
  <c r="H65" i="683" s="1"/>
  <c r="G66" i="683"/>
  <c r="G67" i="683"/>
  <c r="H67" i="683" s="1"/>
  <c r="G68" i="683"/>
  <c r="G69" i="683"/>
  <c r="H69" i="683" s="1"/>
  <c r="G70" i="683"/>
  <c r="H70" i="683" s="1"/>
  <c r="G71" i="683"/>
  <c r="H71" i="683" s="1"/>
  <c r="G72" i="683"/>
  <c r="H72" i="683" s="1"/>
  <c r="G73" i="683"/>
  <c r="H73" i="683" s="1"/>
  <c r="G74" i="683"/>
  <c r="G75" i="683"/>
  <c r="H75" i="683" s="1"/>
  <c r="G76" i="683"/>
  <c r="G77" i="683"/>
  <c r="H77" i="683" s="1"/>
  <c r="G78" i="683"/>
  <c r="G79" i="683"/>
  <c r="H79" i="683" s="1"/>
  <c r="G80" i="683"/>
  <c r="H80" i="683" s="1"/>
  <c r="G81" i="683"/>
  <c r="H81" i="683" s="1"/>
  <c r="G82" i="683"/>
  <c r="G83" i="683"/>
  <c r="H83" i="683" s="1"/>
  <c r="G84" i="683"/>
  <c r="G85" i="683"/>
  <c r="H85" i="683" s="1"/>
  <c r="G86" i="683"/>
  <c r="H86" i="683" s="1"/>
  <c r="G87" i="683"/>
  <c r="H87" i="683" s="1"/>
  <c r="G88" i="683"/>
  <c r="H88" i="683" s="1"/>
  <c r="G89" i="683"/>
  <c r="H89" i="683" s="1"/>
  <c r="G90" i="683"/>
  <c r="G91" i="683"/>
  <c r="H91" i="683" s="1"/>
  <c r="G92" i="683"/>
  <c r="H92" i="683" s="1"/>
  <c r="G93" i="683"/>
  <c r="H93" i="683" s="1"/>
  <c r="G94" i="683"/>
  <c r="H94" i="683" s="1"/>
  <c r="G95" i="683"/>
  <c r="H95" i="683" s="1"/>
  <c r="G96" i="683"/>
  <c r="H96" i="683" s="1"/>
  <c r="G97" i="683"/>
  <c r="H97" i="683" s="1"/>
  <c r="G98" i="683"/>
  <c r="G99" i="683"/>
  <c r="H99" i="683" s="1"/>
  <c r="G100" i="683"/>
  <c r="G101" i="683"/>
  <c r="H101" i="683" s="1"/>
  <c r="G102" i="683"/>
  <c r="G103" i="683"/>
  <c r="H103" i="683" s="1"/>
  <c r="G104" i="683"/>
  <c r="H104" i="683" s="1"/>
  <c r="G105" i="683"/>
  <c r="H105" i="683" s="1"/>
  <c r="G106" i="683"/>
  <c r="G107" i="683"/>
  <c r="H107" i="683" s="1"/>
  <c r="G108" i="683"/>
  <c r="H108" i="683" s="1"/>
  <c r="G109" i="683"/>
  <c r="H109" i="683" s="1"/>
  <c r="G110" i="683"/>
  <c r="H110" i="683" s="1"/>
  <c r="G111" i="683"/>
  <c r="H111" i="683" s="1"/>
  <c r="G112" i="683"/>
  <c r="H112" i="683" s="1"/>
  <c r="G113" i="683"/>
  <c r="H113" i="683" s="1"/>
  <c r="G114" i="683"/>
  <c r="G115" i="683"/>
  <c r="H115" i="683" s="1"/>
  <c r="G116" i="683"/>
  <c r="G117" i="683"/>
  <c r="H117" i="683" s="1"/>
  <c r="G118" i="683"/>
  <c r="H118" i="683" s="1"/>
  <c r="G119" i="683"/>
  <c r="H119" i="683" s="1"/>
  <c r="G120" i="683"/>
  <c r="H120" i="683" s="1"/>
  <c r="G121" i="683"/>
  <c r="G122" i="683"/>
  <c r="G123" i="683"/>
  <c r="H123" i="683" s="1"/>
  <c r="G124" i="683"/>
  <c r="G125" i="683"/>
  <c r="H125" i="683" s="1"/>
  <c r="G126" i="683"/>
  <c r="H126" i="683" s="1"/>
  <c r="G127" i="683"/>
  <c r="H127" i="683" s="1"/>
  <c r="G128" i="683"/>
  <c r="H128" i="683" s="1"/>
  <c r="G129" i="683"/>
  <c r="H129" i="683" s="1"/>
  <c r="G130" i="683"/>
  <c r="G131" i="683"/>
  <c r="H131" i="683" s="1"/>
  <c r="G132" i="683"/>
  <c r="H132" i="683" s="1"/>
  <c r="G133" i="683"/>
  <c r="H133" i="683" s="1"/>
  <c r="G134" i="683"/>
  <c r="H134" i="683" s="1"/>
  <c r="G135" i="683"/>
  <c r="H135" i="683" s="1"/>
  <c r="G136" i="683"/>
  <c r="H136" i="683" s="1"/>
  <c r="G137" i="683"/>
  <c r="H137" i="683" s="1"/>
  <c r="G138" i="683"/>
  <c r="H138" i="683" s="1"/>
  <c r="G139" i="683"/>
  <c r="H139" i="683" s="1"/>
  <c r="G140" i="683"/>
  <c r="H140" i="683" s="1"/>
  <c r="G141" i="683"/>
  <c r="H141" i="683" s="1"/>
  <c r="G142" i="683"/>
  <c r="H142" i="683" s="1"/>
  <c r="G143" i="683"/>
  <c r="H143" i="683" s="1"/>
  <c r="G144" i="683"/>
  <c r="H144" i="683" s="1"/>
  <c r="G145" i="683"/>
  <c r="H145" i="683" s="1"/>
  <c r="G146" i="683"/>
  <c r="G147" i="683"/>
  <c r="H147" i="683" s="1"/>
  <c r="G148" i="683"/>
  <c r="H148" i="683" s="1"/>
  <c r="G149" i="683"/>
  <c r="H149" i="683" s="1"/>
  <c r="G150" i="683"/>
  <c r="H150" i="683" s="1"/>
  <c r="G151" i="683"/>
  <c r="H151" i="683" s="1"/>
  <c r="G152" i="683"/>
  <c r="H152" i="683" s="1"/>
  <c r="G153" i="683"/>
  <c r="H153" i="683" s="1"/>
  <c r="G154" i="683"/>
  <c r="H154" i="683" s="1"/>
  <c r="G155" i="683"/>
  <c r="H155" i="683" s="1"/>
  <c r="G156" i="683"/>
  <c r="H156" i="683" s="1"/>
  <c r="G157" i="683"/>
  <c r="H157" i="683" s="1"/>
  <c r="G3" i="683"/>
  <c r="H3" i="683" s="1"/>
  <c r="H4" i="683"/>
  <c r="H10" i="683"/>
  <c r="H18" i="683"/>
  <c r="H20" i="683"/>
  <c r="H25" i="683"/>
  <c r="H26" i="683"/>
  <c r="H34" i="683"/>
  <c r="H36" i="683"/>
  <c r="H42" i="683"/>
  <c r="H50" i="683"/>
  <c r="H52" i="683"/>
  <c r="H57" i="683"/>
  <c r="H58" i="683"/>
  <c r="H66" i="683"/>
  <c r="H68" i="683"/>
  <c r="H74" i="683"/>
  <c r="H76" i="683"/>
  <c r="H78" i="683"/>
  <c r="H82" i="683"/>
  <c r="H84" i="683"/>
  <c r="H90" i="683"/>
  <c r="H98" i="683"/>
  <c r="H100" i="683"/>
  <c r="H102" i="683"/>
  <c r="H106" i="683"/>
  <c r="H114" i="683"/>
  <c r="H116" i="683"/>
  <c r="H121" i="683"/>
  <c r="H122" i="683"/>
  <c r="H124" i="683"/>
  <c r="H130" i="683"/>
  <c r="H146" i="683"/>
  <c r="H158" i="683"/>
  <c r="H159" i="683"/>
  <c r="H160" i="683"/>
  <c r="H161" i="683"/>
  <c r="H162" i="683"/>
  <c r="H163" i="683"/>
  <c r="H164" i="683"/>
  <c r="H165" i="683"/>
  <c r="H166" i="683"/>
  <c r="H167" i="683"/>
  <c r="H168" i="683"/>
  <c r="H169" i="683"/>
  <c r="H170" i="683"/>
  <c r="H171" i="683"/>
  <c r="H172" i="683"/>
  <c r="H173" i="683"/>
  <c r="L180" i="220"/>
  <c r="K180" i="220"/>
  <c r="J180" i="220"/>
  <c r="J167" i="220"/>
  <c r="K167" i="220"/>
  <c r="L167" i="220"/>
  <c r="M180" i="220" l="1"/>
  <c r="M167" i="220"/>
  <c r="J102" i="220" l="1"/>
  <c r="K102" i="220"/>
  <c r="L102" i="220"/>
  <c r="J103" i="220"/>
  <c r="K103" i="220"/>
  <c r="L103" i="220"/>
  <c r="J91" i="220"/>
  <c r="K91" i="220"/>
  <c r="L91" i="220"/>
  <c r="J92" i="220"/>
  <c r="K92" i="220"/>
  <c r="L92" i="220"/>
  <c r="J93" i="220"/>
  <c r="K93" i="220"/>
  <c r="L93" i="220"/>
  <c r="J94" i="220"/>
  <c r="K94" i="220"/>
  <c r="L94" i="220"/>
  <c r="J95" i="220"/>
  <c r="K95" i="220"/>
  <c r="L95" i="220"/>
  <c r="J96" i="220"/>
  <c r="K96" i="220"/>
  <c r="L96" i="220"/>
  <c r="J97" i="220"/>
  <c r="K97" i="220"/>
  <c r="L97" i="220"/>
  <c r="J98" i="220"/>
  <c r="K98" i="220"/>
  <c r="L98" i="220"/>
  <c r="J99" i="220"/>
  <c r="K99" i="220"/>
  <c r="L99" i="220"/>
  <c r="J100" i="220"/>
  <c r="K100" i="220"/>
  <c r="L100" i="220"/>
  <c r="J101" i="220"/>
  <c r="K101" i="220"/>
  <c r="L101" i="220"/>
  <c r="J67" i="220"/>
  <c r="K67" i="220"/>
  <c r="L67" i="220"/>
  <c r="J45" i="220"/>
  <c r="K45" i="220"/>
  <c r="L45" i="220"/>
  <c r="J46" i="220"/>
  <c r="K46" i="220"/>
  <c r="L46" i="220"/>
  <c r="J47" i="220"/>
  <c r="K47" i="220"/>
  <c r="L47" i="220"/>
  <c r="J183" i="220"/>
  <c r="J182" i="220"/>
  <c r="K183" i="220"/>
  <c r="L183" i="220"/>
  <c r="J184" i="220"/>
  <c r="K184" i="220"/>
  <c r="L184" i="220"/>
  <c r="J185" i="220"/>
  <c r="K185" i="220"/>
  <c r="L185" i="220"/>
  <c r="J186" i="220"/>
  <c r="K186" i="220"/>
  <c r="L186" i="220"/>
  <c r="J187" i="220"/>
  <c r="K187" i="220"/>
  <c r="L187" i="220"/>
  <c r="J188" i="220"/>
  <c r="K188" i="220"/>
  <c r="L188" i="220"/>
  <c r="J189" i="220"/>
  <c r="K189" i="220"/>
  <c r="L189" i="220"/>
  <c r="J190" i="220"/>
  <c r="K190" i="220"/>
  <c r="L190" i="220"/>
  <c r="J191" i="220"/>
  <c r="K191" i="220"/>
  <c r="L191" i="220"/>
  <c r="J192" i="220"/>
  <c r="K192" i="220"/>
  <c r="L192" i="220"/>
  <c r="J143" i="220"/>
  <c r="K143" i="220"/>
  <c r="L143" i="220"/>
  <c r="J64" i="220"/>
  <c r="K64" i="220"/>
  <c r="L64" i="220"/>
  <c r="J65" i="220"/>
  <c r="K65" i="220"/>
  <c r="L65" i="220"/>
  <c r="J66" i="220"/>
  <c r="K66" i="220"/>
  <c r="L66" i="220"/>
  <c r="L63" i="220" l="1"/>
  <c r="K63" i="220"/>
  <c r="M67" i="220"/>
  <c r="M95" i="220"/>
  <c r="M103" i="220"/>
  <c r="M102" i="220"/>
  <c r="M101" i="220"/>
  <c r="M96" i="220"/>
  <c r="M93" i="220"/>
  <c r="M97" i="220"/>
  <c r="M94" i="220"/>
  <c r="M92" i="220"/>
  <c r="M99" i="220"/>
  <c r="M100" i="220"/>
  <c r="M98" i="220"/>
  <c r="M91" i="220"/>
  <c r="M45" i="220"/>
  <c r="M47" i="220"/>
  <c r="M46" i="220"/>
  <c r="M191" i="220"/>
  <c r="M189" i="220"/>
  <c r="M187" i="220"/>
  <c r="M192" i="220"/>
  <c r="M184" i="220"/>
  <c r="M190" i="220"/>
  <c r="M186" i="220"/>
  <c r="L182" i="220"/>
  <c r="M188" i="220"/>
  <c r="K182" i="220"/>
  <c r="M185" i="220"/>
  <c r="M183" i="220"/>
  <c r="M143" i="220"/>
  <c r="M66" i="220"/>
  <c r="M64" i="220"/>
  <c r="M65" i="220"/>
  <c r="D54" i="561"/>
  <c r="D51" i="561"/>
  <c r="D48" i="561"/>
  <c r="D45" i="561"/>
  <c r="D42" i="561"/>
  <c r="D39" i="561"/>
  <c r="D36" i="561"/>
  <c r="D33" i="561"/>
  <c r="D30" i="561"/>
  <c r="D27" i="561"/>
  <c r="D24" i="561"/>
  <c r="D18" i="561"/>
  <c r="C52" i="561"/>
  <c r="C49" i="561"/>
  <c r="C46" i="561"/>
  <c r="C43" i="561"/>
  <c r="C40" i="561"/>
  <c r="C37" i="561"/>
  <c r="C34" i="561"/>
  <c r="C16" i="561"/>
  <c r="C19" i="561"/>
  <c r="C22" i="561"/>
  <c r="C25" i="561"/>
  <c r="C28" i="561"/>
  <c r="J196" i="220"/>
  <c r="J193" i="220"/>
  <c r="J171" i="220"/>
  <c r="K171" i="220"/>
  <c r="L171" i="220"/>
  <c r="J172" i="220"/>
  <c r="K172" i="220"/>
  <c r="L172" i="220"/>
  <c r="J173" i="220"/>
  <c r="K173" i="220"/>
  <c r="L173" i="220"/>
  <c r="J174" i="220"/>
  <c r="K174" i="220"/>
  <c r="L174" i="220"/>
  <c r="J175" i="220"/>
  <c r="K175" i="220"/>
  <c r="L175" i="220"/>
  <c r="J177" i="220"/>
  <c r="K177" i="220"/>
  <c r="L177" i="220"/>
  <c r="J178" i="220"/>
  <c r="K178" i="220"/>
  <c r="L178" i="220"/>
  <c r="J179" i="220"/>
  <c r="K179" i="220"/>
  <c r="L179" i="220"/>
  <c r="J194" i="220"/>
  <c r="K194" i="220"/>
  <c r="K193" i="220" s="1"/>
  <c r="L194" i="220"/>
  <c r="L193" i="220" s="1"/>
  <c r="J195" i="220"/>
  <c r="K195" i="220"/>
  <c r="L195" i="220"/>
  <c r="J197" i="220"/>
  <c r="K197" i="220"/>
  <c r="K196" i="220" s="1"/>
  <c r="E28" i="555" s="1"/>
  <c r="L197" i="220"/>
  <c r="L196" i="220" s="1"/>
  <c r="F28" i="555" s="1"/>
  <c r="L170" i="220"/>
  <c r="K170" i="220"/>
  <c r="J170" i="220"/>
  <c r="J169" i="220"/>
  <c r="J156" i="220"/>
  <c r="J151" i="220"/>
  <c r="J145" i="220"/>
  <c r="J141" i="220"/>
  <c r="J142" i="220"/>
  <c r="K142" i="220"/>
  <c r="K141" i="220" s="1"/>
  <c r="L142" i="220"/>
  <c r="L141" i="220" s="1"/>
  <c r="J146" i="220"/>
  <c r="K146" i="220"/>
  <c r="L146" i="220"/>
  <c r="J148" i="220"/>
  <c r="K148" i="220"/>
  <c r="L148" i="220"/>
  <c r="J149" i="220"/>
  <c r="K149" i="220"/>
  <c r="L149" i="220"/>
  <c r="J150" i="220"/>
  <c r="K150" i="220"/>
  <c r="L150" i="220"/>
  <c r="J152" i="220"/>
  <c r="K152" i="220"/>
  <c r="L152" i="220"/>
  <c r="J153" i="220"/>
  <c r="K153" i="220"/>
  <c r="L153" i="220"/>
  <c r="J154" i="220"/>
  <c r="K154" i="220"/>
  <c r="L154" i="220"/>
  <c r="J157" i="220"/>
  <c r="K157" i="220"/>
  <c r="L157" i="220"/>
  <c r="J158" i="220"/>
  <c r="K158" i="220"/>
  <c r="L158" i="220"/>
  <c r="J159" i="220"/>
  <c r="K159" i="220"/>
  <c r="L159" i="220"/>
  <c r="J160" i="220"/>
  <c r="K160" i="220"/>
  <c r="L160" i="220"/>
  <c r="J161" i="220"/>
  <c r="K161" i="220"/>
  <c r="L161" i="220"/>
  <c r="J162" i="220"/>
  <c r="K162" i="220"/>
  <c r="L162" i="220"/>
  <c r="J164" i="220"/>
  <c r="K164" i="220"/>
  <c r="L164" i="220"/>
  <c r="J165" i="220"/>
  <c r="K165" i="220"/>
  <c r="L165" i="220"/>
  <c r="J166" i="220"/>
  <c r="K166" i="220"/>
  <c r="L166" i="220"/>
  <c r="J131" i="220"/>
  <c r="J127" i="220"/>
  <c r="J113" i="220"/>
  <c r="K113" i="220"/>
  <c r="L113" i="220"/>
  <c r="J106" i="220"/>
  <c r="K106" i="220"/>
  <c r="L106" i="220"/>
  <c r="J107" i="220"/>
  <c r="K107" i="220"/>
  <c r="L107" i="220"/>
  <c r="J108" i="220"/>
  <c r="K108" i="220"/>
  <c r="L108" i="220"/>
  <c r="J109" i="220"/>
  <c r="K109" i="220"/>
  <c r="L109" i="220"/>
  <c r="J110" i="220"/>
  <c r="K110" i="220"/>
  <c r="L110" i="220"/>
  <c r="J111" i="220"/>
  <c r="K111" i="220"/>
  <c r="L111" i="220"/>
  <c r="J112" i="220"/>
  <c r="K112" i="220"/>
  <c r="L112" i="220"/>
  <c r="J83" i="220"/>
  <c r="K83" i="220"/>
  <c r="L83" i="220"/>
  <c r="J84" i="220"/>
  <c r="K84" i="220"/>
  <c r="L84" i="220"/>
  <c r="J85" i="220"/>
  <c r="K85" i="220"/>
  <c r="L85" i="220"/>
  <c r="J86" i="220"/>
  <c r="K86" i="220"/>
  <c r="L86" i="220"/>
  <c r="J87" i="220"/>
  <c r="K87" i="220"/>
  <c r="L87" i="220"/>
  <c r="J88" i="220"/>
  <c r="K88" i="220"/>
  <c r="L88" i="220"/>
  <c r="J89" i="220"/>
  <c r="K89" i="220"/>
  <c r="L89" i="220"/>
  <c r="J90" i="220"/>
  <c r="K90" i="220"/>
  <c r="L90" i="220"/>
  <c r="J22" i="220"/>
  <c r="J23" i="220"/>
  <c r="J24" i="220"/>
  <c r="J25" i="220"/>
  <c r="J21" i="220"/>
  <c r="J17" i="220"/>
  <c r="J18" i="220"/>
  <c r="J16" i="220"/>
  <c r="C11" i="555"/>
  <c r="K169" i="220" l="1"/>
  <c r="L169" i="220"/>
  <c r="L156" i="220"/>
  <c r="K156" i="220"/>
  <c r="M63" i="220"/>
  <c r="E22" i="555"/>
  <c r="M182" i="220"/>
  <c r="M170" i="220"/>
  <c r="M175" i="220"/>
  <c r="M195" i="220"/>
  <c r="M177" i="220"/>
  <c r="M174" i="220"/>
  <c r="M179" i="220"/>
  <c r="M178" i="220"/>
  <c r="M171" i="220"/>
  <c r="L151" i="220"/>
  <c r="K151" i="220"/>
  <c r="M173" i="220"/>
  <c r="M172" i="220"/>
  <c r="M197" i="220"/>
  <c r="M196" i="220" s="1"/>
  <c r="G28" i="555" s="1"/>
  <c r="M194" i="220"/>
  <c r="M193" i="220" s="1"/>
  <c r="L145" i="220"/>
  <c r="M148" i="220"/>
  <c r="K145" i="220"/>
  <c r="M152" i="220"/>
  <c r="M165" i="220"/>
  <c r="M158" i="220"/>
  <c r="M160" i="220"/>
  <c r="M162" i="220"/>
  <c r="M157" i="220"/>
  <c r="M153" i="220"/>
  <c r="M154" i="220"/>
  <c r="M150" i="220"/>
  <c r="M149" i="220"/>
  <c r="M113" i="220"/>
  <c r="M166" i="220"/>
  <c r="M161" i="220"/>
  <c r="M142" i="220"/>
  <c r="M141" i="220" s="1"/>
  <c r="M146" i="220"/>
  <c r="M164" i="220"/>
  <c r="M159" i="220"/>
  <c r="M108" i="220"/>
  <c r="M106" i="220"/>
  <c r="M112" i="220"/>
  <c r="M109" i="220"/>
  <c r="M111" i="220"/>
  <c r="M110" i="220"/>
  <c r="M107" i="220"/>
  <c r="M83" i="220"/>
  <c r="M87" i="220"/>
  <c r="M90" i="220"/>
  <c r="M86" i="220"/>
  <c r="M88" i="220"/>
  <c r="M85" i="220"/>
  <c r="M89" i="220"/>
  <c r="M84" i="220"/>
  <c r="K16" i="677"/>
  <c r="G14" i="677"/>
  <c r="B47" i="677" s="1"/>
  <c r="M169" i="220" l="1"/>
  <c r="M156" i="220"/>
  <c r="M145" i="220"/>
  <c r="M151" i="220"/>
  <c r="G14" i="679"/>
  <c r="B47" i="679" s="1"/>
  <c r="C11" i="682"/>
  <c r="P10" i="682"/>
  <c r="C10" i="682"/>
  <c r="P9" i="682"/>
  <c r="C9" i="682"/>
  <c r="P8" i="682"/>
  <c r="C8" i="682"/>
  <c r="L140" i="220"/>
  <c r="K140" i="220"/>
  <c r="J140" i="220"/>
  <c r="L139" i="220"/>
  <c r="K139" i="220"/>
  <c r="J139" i="220"/>
  <c r="L138" i="220"/>
  <c r="K138" i="220"/>
  <c r="J138" i="220"/>
  <c r="L137" i="220"/>
  <c r="K137" i="220"/>
  <c r="J137" i="220"/>
  <c r="L126" i="220"/>
  <c r="K126" i="220"/>
  <c r="J126" i="220"/>
  <c r="L125" i="220"/>
  <c r="K125" i="220"/>
  <c r="J125" i="220"/>
  <c r="L124" i="220"/>
  <c r="K124" i="220"/>
  <c r="J124" i="220"/>
  <c r="J123" i="220"/>
  <c r="L122" i="220"/>
  <c r="K122" i="220"/>
  <c r="J122" i="220"/>
  <c r="L133" i="220"/>
  <c r="K133" i="220"/>
  <c r="J133" i="220"/>
  <c r="L132" i="220"/>
  <c r="K132" i="220"/>
  <c r="J132" i="220"/>
  <c r="L129" i="220"/>
  <c r="K129" i="220"/>
  <c r="J129" i="220"/>
  <c r="L128" i="220"/>
  <c r="K128" i="220"/>
  <c r="J128" i="220"/>
  <c r="L136" i="220"/>
  <c r="K136" i="220"/>
  <c r="J136" i="220"/>
  <c r="L135" i="220"/>
  <c r="K135" i="220"/>
  <c r="J135" i="220"/>
  <c r="L134" i="220"/>
  <c r="K134" i="220"/>
  <c r="J134" i="220"/>
  <c r="L117" i="220"/>
  <c r="K117" i="220"/>
  <c r="J117" i="220"/>
  <c r="L79" i="220"/>
  <c r="K79" i="220"/>
  <c r="J79" i="220"/>
  <c r="L78" i="220"/>
  <c r="K78" i="220"/>
  <c r="J78" i="220"/>
  <c r="L77" i="220"/>
  <c r="K77" i="220"/>
  <c r="J77" i="220"/>
  <c r="L80" i="220"/>
  <c r="K80" i="220"/>
  <c r="J80" i="220"/>
  <c r="J71" i="220"/>
  <c r="J63" i="220"/>
  <c r="L58" i="220"/>
  <c r="K58" i="220"/>
  <c r="J58" i="220"/>
  <c r="L56" i="220"/>
  <c r="K56" i="220"/>
  <c r="J56" i="220"/>
  <c r="L51" i="220"/>
  <c r="K51" i="220"/>
  <c r="O24" i="7"/>
  <c r="O25" i="7" s="1"/>
  <c r="O30" i="7"/>
  <c r="Q153" i="7"/>
  <c r="Q152" i="7"/>
  <c r="Q151" i="7"/>
  <c r="Q154" i="7"/>
  <c r="Q138" i="7"/>
  <c r="O33" i="7"/>
  <c r="O29" i="7" s="1"/>
  <c r="O181" i="7"/>
  <c r="Q181" i="7" s="1"/>
  <c r="O179" i="7"/>
  <c r="Q179" i="7" s="1"/>
  <c r="O178" i="7"/>
  <c r="Q178" i="7" s="1"/>
  <c r="O177" i="7"/>
  <c r="Q177" i="7" s="1"/>
  <c r="O176" i="7"/>
  <c r="Q176" i="7" s="1"/>
  <c r="O174" i="7"/>
  <c r="Q174" i="7" s="1"/>
  <c r="Q172" i="7"/>
  <c r="Q173" i="7"/>
  <c r="Q183" i="7"/>
  <c r="Q182" i="7"/>
  <c r="Q180" i="7"/>
  <c r="Q171" i="7"/>
  <c r="Q170" i="7"/>
  <c r="O150" i="7"/>
  <c r="Q145" i="7"/>
  <c r="O149" i="7"/>
  <c r="Q149" i="7" s="1"/>
  <c r="Q169" i="7"/>
  <c r="Q139" i="7"/>
  <c r="Q137" i="7"/>
  <c r="Q136" i="7"/>
  <c r="O168" i="7"/>
  <c r="Q167" i="7"/>
  <c r="Q166" i="7"/>
  <c r="Q165" i="7"/>
  <c r="Q164" i="7"/>
  <c r="Q163" i="7"/>
  <c r="Q162" i="7"/>
  <c r="Q161" i="7"/>
  <c r="Q160" i="7"/>
  <c r="Q159" i="7"/>
  <c r="Q148" i="7"/>
  <c r="Q147" i="7"/>
  <c r="Q142" i="7"/>
  <c r="Q141" i="7"/>
  <c r="Q140" i="7"/>
  <c r="Q55" i="7"/>
  <c r="Q128" i="7"/>
  <c r="Q127" i="7"/>
  <c r="Q126" i="7"/>
  <c r="Q125" i="7"/>
  <c r="Q124" i="7"/>
  <c r="Q123" i="7"/>
  <c r="Q122" i="7"/>
  <c r="K121" i="220" l="1"/>
  <c r="L131" i="220"/>
  <c r="L121" i="220"/>
  <c r="K123" i="220"/>
  <c r="K131" i="220"/>
  <c r="L123" i="220"/>
  <c r="K127" i="220"/>
  <c r="L127" i="220"/>
  <c r="M133" i="220"/>
  <c r="M134" i="220"/>
  <c r="M125" i="220"/>
  <c r="M137" i="220"/>
  <c r="M117" i="220"/>
  <c r="M124" i="220"/>
  <c r="M140" i="220"/>
  <c r="M135" i="220"/>
  <c r="M138" i="220"/>
  <c r="M128" i="220"/>
  <c r="M139" i="220"/>
  <c r="M132" i="220"/>
  <c r="M126" i="220"/>
  <c r="M136" i="220"/>
  <c r="M129" i="220"/>
  <c r="M122" i="220"/>
  <c r="M80" i="220"/>
  <c r="M77" i="220"/>
  <c r="M78" i="220"/>
  <c r="M79" i="220"/>
  <c r="M51" i="220"/>
  <c r="M56" i="220"/>
  <c r="M58" i="220"/>
  <c r="Q150" i="7"/>
  <c r="Q168" i="7"/>
  <c r="O175" i="7"/>
  <c r="Q175" i="7" s="1"/>
  <c r="Q46" i="7"/>
  <c r="O41" i="7"/>
  <c r="Q41" i="7" s="1"/>
  <c r="Q37" i="7"/>
  <c r="Q40" i="7"/>
  <c r="Q39" i="7"/>
  <c r="Q38" i="7"/>
  <c r="O98" i="7"/>
  <c r="Q102" i="7"/>
  <c r="Q103" i="7"/>
  <c r="Q84" i="7"/>
  <c r="Q83" i="7"/>
  <c r="Q117" i="7"/>
  <c r="Q118" i="7"/>
  <c r="Q119" i="7"/>
  <c r="O121" i="7"/>
  <c r="Q112" i="7"/>
  <c r="Q111" i="7"/>
  <c r="Q110" i="7"/>
  <c r="Q109" i="7"/>
  <c r="Q116" i="7"/>
  <c r="Q115" i="7"/>
  <c r="Q114" i="7"/>
  <c r="Q113" i="7"/>
  <c r="L120" i="220" l="1"/>
  <c r="F27" i="555" s="1"/>
  <c r="K120" i="220"/>
  <c r="E27" i="555" s="1"/>
  <c r="M121" i="220"/>
  <c r="M123" i="220"/>
  <c r="M127" i="220"/>
  <c r="M131" i="220"/>
  <c r="Q78" i="7"/>
  <c r="Q100" i="7"/>
  <c r="Q99" i="7"/>
  <c r="Q98" i="7"/>
  <c r="Q97" i="7"/>
  <c r="Q96" i="7"/>
  <c r="Q106" i="7"/>
  <c r="O94" i="7"/>
  <c r="M120" i="220" l="1"/>
  <c r="G27" i="555" s="1"/>
  <c r="Q92" i="7"/>
  <c r="Q91" i="7"/>
  <c r="Q95" i="7" l="1"/>
  <c r="Q94" i="7"/>
  <c r="Q93" i="7"/>
  <c r="Q101" i="7"/>
  <c r="Q88" i="7"/>
  <c r="Q76" i="7"/>
  <c r="Q68" i="7"/>
  <c r="Q73" i="7"/>
  <c r="Q72" i="7"/>
  <c r="Q71" i="7"/>
  <c r="Q70" i="7"/>
  <c r="Q69" i="7"/>
  <c r="Q67" i="7"/>
  <c r="Q66" i="7"/>
  <c r="Q65" i="7"/>
  <c r="Q64" i="7"/>
  <c r="Q62" i="7"/>
  <c r="Q61" i="7"/>
  <c r="Q60" i="7"/>
  <c r="Q59" i="7"/>
  <c r="Q50" i="7"/>
  <c r="Q53" i="7"/>
  <c r="Q56" i="7"/>
  <c r="Q54" i="7"/>
  <c r="Q52" i="7"/>
  <c r="Q51" i="7"/>
  <c r="Q49" i="7"/>
  <c r="Q158" i="7" l="1"/>
  <c r="Q157" i="7"/>
  <c r="Q146" i="7"/>
  <c r="Q144" i="7"/>
  <c r="Q143" i="7"/>
  <c r="Q135" i="7"/>
  <c r="Q134" i="7"/>
  <c r="Q133" i="7"/>
  <c r="Q132" i="7"/>
  <c r="Q131" i="7"/>
  <c r="Q130" i="7"/>
  <c r="Q77" i="7"/>
  <c r="Q75" i="7"/>
  <c r="Q74" i="7"/>
  <c r="Q63" i="7"/>
  <c r="Q58" i="7"/>
  <c r="Q57" i="7"/>
  <c r="Q129" i="7"/>
  <c r="Q121" i="7"/>
  <c r="Q120" i="7"/>
  <c r="Q108" i="7"/>
  <c r="Q107" i="7"/>
  <c r="Q105" i="7"/>
  <c r="Q104" i="7"/>
  <c r="Q90" i="7"/>
  <c r="Q89" i="7"/>
  <c r="Q87" i="7"/>
  <c r="Q86" i="7"/>
  <c r="Q85" i="7"/>
  <c r="Q82" i="7"/>
  <c r="Q81" i="7"/>
  <c r="Q80" i="7"/>
  <c r="Q79" i="7"/>
  <c r="Q48" i="7"/>
  <c r="Q47" i="7"/>
  <c r="Q45" i="7"/>
  <c r="Q44" i="7"/>
  <c r="Q43" i="7"/>
  <c r="Q42" i="7"/>
  <c r="Q36" i="7"/>
  <c r="Q35" i="7"/>
  <c r="Q34" i="7"/>
  <c r="Q33" i="7"/>
  <c r="Q32" i="7"/>
  <c r="Q31" i="7"/>
  <c r="Q30" i="7"/>
  <c r="Q29" i="7"/>
  <c r="Q28" i="7"/>
  <c r="Q27" i="7"/>
  <c r="Q26" i="7"/>
  <c r="Q25" i="7"/>
  <c r="Q24" i="7"/>
  <c r="Q23" i="7"/>
  <c r="Q22" i="7"/>
  <c r="Q21" i="7"/>
  <c r="Q19" i="7"/>
  <c r="Q18" i="7"/>
  <c r="Q17" i="7"/>
  <c r="D10" i="679" l="1"/>
  <c r="D10" i="678"/>
  <c r="D10" i="677"/>
  <c r="D10" i="554"/>
  <c r="C10" i="681"/>
  <c r="C10" i="548"/>
  <c r="C10" i="561"/>
  <c r="C8" i="607"/>
  <c r="C10" i="220"/>
  <c r="C10" i="555"/>
  <c r="C11" i="681"/>
  <c r="C9" i="681"/>
  <c r="C8" i="681"/>
  <c r="G48" i="681"/>
  <c r="F48" i="681"/>
  <c r="E48" i="681"/>
  <c r="D48" i="681"/>
  <c r="G44" i="681"/>
  <c r="F44" i="681"/>
  <c r="E44" i="681"/>
  <c r="D44" i="681"/>
  <c r="G37" i="681"/>
  <c r="F37" i="681"/>
  <c r="E37" i="681"/>
  <c r="D37" i="681"/>
  <c r="G25" i="681"/>
  <c r="F25" i="681"/>
  <c r="E25" i="681"/>
  <c r="D25" i="681"/>
  <c r="D8" i="554"/>
  <c r="D9" i="554"/>
  <c r="D11" i="554"/>
  <c r="I31" i="554"/>
  <c r="F49" i="681" l="1"/>
  <c r="G49" i="681"/>
  <c r="E49" i="681"/>
  <c r="D49" i="681"/>
  <c r="F25" i="551"/>
  <c r="L76" i="220"/>
  <c r="K76" i="220"/>
  <c r="J76" i="220"/>
  <c r="L75" i="220"/>
  <c r="K75" i="220"/>
  <c r="J75" i="220"/>
  <c r="L74" i="220"/>
  <c r="K74" i="220"/>
  <c r="J74" i="220"/>
  <c r="L73" i="220"/>
  <c r="K73" i="220"/>
  <c r="J73" i="220"/>
  <c r="L72" i="220"/>
  <c r="K72" i="220"/>
  <c r="J72" i="220"/>
  <c r="L61" i="220"/>
  <c r="K61" i="220"/>
  <c r="J61" i="220"/>
  <c r="L55" i="220"/>
  <c r="K55" i="220"/>
  <c r="J55" i="220"/>
  <c r="L49" i="220"/>
  <c r="K49" i="220"/>
  <c r="L48" i="220"/>
  <c r="K48" i="220"/>
  <c r="J48" i="220"/>
  <c r="L44" i="220"/>
  <c r="K44" i="220"/>
  <c r="J44" i="220"/>
  <c r="L24" i="220"/>
  <c r="K24" i="220"/>
  <c r="L18" i="220"/>
  <c r="K18" i="220"/>
  <c r="I31" i="679"/>
  <c r="T11" i="682" s="1"/>
  <c r="D11" i="679"/>
  <c r="D9" i="679"/>
  <c r="D8" i="679"/>
  <c r="I31" i="678"/>
  <c r="T10" i="682" s="1"/>
  <c r="D11" i="678"/>
  <c r="D9" i="678"/>
  <c r="D8" i="678"/>
  <c r="I31" i="677"/>
  <c r="F28" i="551" s="1"/>
  <c r="D11" i="677"/>
  <c r="D9" i="677"/>
  <c r="D8" i="677"/>
  <c r="O194" i="682" l="1"/>
  <c r="R194" i="682" s="1"/>
  <c r="R193" i="682" s="1"/>
  <c r="O193" i="682"/>
  <c r="N192" i="682"/>
  <c r="O185" i="682"/>
  <c r="R185" i="682" s="1"/>
  <c r="N176" i="682"/>
  <c r="N169" i="682"/>
  <c r="O166" i="682"/>
  <c r="O160" i="682"/>
  <c r="R160" i="682" s="1"/>
  <c r="N159" i="682"/>
  <c r="N157" i="682"/>
  <c r="O156" i="682"/>
  <c r="R156" i="682" s="1"/>
  <c r="O148" i="682"/>
  <c r="O143" i="682"/>
  <c r="R143" i="682" s="1"/>
  <c r="N142" i="682"/>
  <c r="O139" i="682"/>
  <c r="N138" i="682"/>
  <c r="O137" i="682"/>
  <c r="R137" i="682" s="1"/>
  <c r="O131" i="682"/>
  <c r="R131" i="682" s="1"/>
  <c r="O128" i="682"/>
  <c r="R128" i="682" s="1"/>
  <c r="N117" i="682"/>
  <c r="N106" i="682"/>
  <c r="O105" i="682"/>
  <c r="R105" i="682" s="1"/>
  <c r="N104" i="682"/>
  <c r="O99" i="682"/>
  <c r="R99" i="682" s="1"/>
  <c r="N98" i="682"/>
  <c r="N94" i="682"/>
  <c r="O89" i="682"/>
  <c r="R89" i="682" s="1"/>
  <c r="O88" i="682"/>
  <c r="R88" i="682" s="1"/>
  <c r="N87" i="682"/>
  <c r="O86" i="682"/>
  <c r="R86" i="682" s="1"/>
  <c r="O81" i="682"/>
  <c r="R81" i="682" s="1"/>
  <c r="N80" i="682"/>
  <c r="N76" i="682"/>
  <c r="O73" i="682"/>
  <c r="R73" i="682" s="1"/>
  <c r="N67" i="682"/>
  <c r="O66" i="682"/>
  <c r="R66" i="682" s="1"/>
  <c r="O62" i="682"/>
  <c r="O52" i="682"/>
  <c r="N48" i="682"/>
  <c r="O41" i="682"/>
  <c r="O39" i="682"/>
  <c r="R39" i="682" s="1"/>
  <c r="R38" i="682" s="1"/>
  <c r="O35" i="682"/>
  <c r="R35" i="682" s="1"/>
  <c r="O32" i="682"/>
  <c r="R32" i="682" s="1"/>
  <c r="N194" i="682"/>
  <c r="N193" i="682"/>
  <c r="P193" i="682" s="1"/>
  <c r="O187" i="682"/>
  <c r="R187" i="682" s="1"/>
  <c r="N185" i="682"/>
  <c r="O181" i="682"/>
  <c r="R181" i="682" s="1"/>
  <c r="O180" i="682"/>
  <c r="R180" i="682" s="1"/>
  <c r="O178" i="682"/>
  <c r="R178" i="682" s="1"/>
  <c r="O171" i="682"/>
  <c r="R171" i="682" s="1"/>
  <c r="O167" i="682"/>
  <c r="R167" i="682" s="1"/>
  <c r="N166" i="682"/>
  <c r="O162" i="682"/>
  <c r="R162" i="682" s="1"/>
  <c r="N160" i="682"/>
  <c r="O158" i="682"/>
  <c r="R158" i="682" s="1"/>
  <c r="N156" i="682"/>
  <c r="N148" i="682"/>
  <c r="Q148" i="682" s="1"/>
  <c r="N143" i="682"/>
  <c r="N139" i="682"/>
  <c r="N137" i="682"/>
  <c r="N131" i="682"/>
  <c r="N128" i="682"/>
  <c r="O123" i="682"/>
  <c r="R123" i="682" s="1"/>
  <c r="O116" i="682"/>
  <c r="R116" i="682" s="1"/>
  <c r="O107" i="682"/>
  <c r="R107" i="682" s="1"/>
  <c r="N105" i="682"/>
  <c r="O102" i="682"/>
  <c r="R102" i="682" s="1"/>
  <c r="N99" i="682"/>
  <c r="O95" i="682"/>
  <c r="R95" i="682" s="1"/>
  <c r="O90" i="682"/>
  <c r="R90" i="682" s="1"/>
  <c r="N89" i="682"/>
  <c r="N88" i="682"/>
  <c r="N86" i="682"/>
  <c r="N81" i="682"/>
  <c r="N73" i="682"/>
  <c r="O72" i="682"/>
  <c r="R72" i="682" s="1"/>
  <c r="O68" i="682"/>
  <c r="R68" i="682" s="1"/>
  <c r="N66" i="682"/>
  <c r="N187" i="682"/>
  <c r="O183" i="682"/>
  <c r="R183" i="682" s="1"/>
  <c r="N181" i="682"/>
  <c r="N180" i="682"/>
  <c r="N178" i="682"/>
  <c r="O177" i="682"/>
  <c r="R177" i="682" s="1"/>
  <c r="N171" i="682"/>
  <c r="N167" i="682"/>
  <c r="N162" i="682"/>
  <c r="O161" i="682"/>
  <c r="R161" i="682" s="1"/>
  <c r="N158" i="682"/>
  <c r="O153" i="682"/>
  <c r="O149" i="682"/>
  <c r="O144" i="682"/>
  <c r="R144" i="682" s="1"/>
  <c r="O135" i="682"/>
  <c r="R135" i="682" s="1"/>
  <c r="O133" i="682"/>
  <c r="R133" i="682" s="1"/>
  <c r="O132" i="682"/>
  <c r="O125" i="682"/>
  <c r="R125" i="682" s="1"/>
  <c r="N123" i="682"/>
  <c r="O119" i="682"/>
  <c r="N116" i="682"/>
  <c r="O108" i="682"/>
  <c r="R108" i="682" s="1"/>
  <c r="N107" i="682"/>
  <c r="N102" i="682"/>
  <c r="O100" i="682"/>
  <c r="R100" i="682" s="1"/>
  <c r="N95" i="682"/>
  <c r="O91" i="682"/>
  <c r="R91" i="682" s="1"/>
  <c r="N90" i="682"/>
  <c r="O82" i="682"/>
  <c r="R82" i="682" s="1"/>
  <c r="O79" i="682"/>
  <c r="R79" i="682" s="1"/>
  <c r="O78" i="682"/>
  <c r="R78" i="682" s="1"/>
  <c r="O77" i="682"/>
  <c r="R77" i="682" s="1"/>
  <c r="N72" i="682"/>
  <c r="N68" i="682"/>
  <c r="O59" i="682"/>
  <c r="O54" i="682"/>
  <c r="R54" i="682" s="1"/>
  <c r="O191" i="682"/>
  <c r="R191" i="682" s="1"/>
  <c r="R190" i="682" s="1"/>
  <c r="O190" i="682"/>
  <c r="O186" i="682"/>
  <c r="R186" i="682" s="1"/>
  <c r="N184" i="682"/>
  <c r="O179" i="682"/>
  <c r="N175" i="682"/>
  <c r="O174" i="682"/>
  <c r="R174" i="682" s="1"/>
  <c r="O170" i="682"/>
  <c r="R170" i="682" s="1"/>
  <c r="N165" i="682"/>
  <c r="N164" i="682"/>
  <c r="O155" i="682"/>
  <c r="R155" i="682" s="1"/>
  <c r="N152" i="682"/>
  <c r="O147" i="682"/>
  <c r="R147" i="682" s="1"/>
  <c r="N145" i="682"/>
  <c r="N136" i="682"/>
  <c r="O130" i="682"/>
  <c r="R130" i="682" s="1"/>
  <c r="N129" i="682"/>
  <c r="O127" i="682"/>
  <c r="R127" i="682" s="1"/>
  <c r="R126" i="682" s="1"/>
  <c r="N126" i="682"/>
  <c r="O122" i="682"/>
  <c r="N121" i="682"/>
  <c r="O115" i="682"/>
  <c r="O110" i="682"/>
  <c r="R110" i="682" s="1"/>
  <c r="N109" i="682"/>
  <c r="O97" i="682"/>
  <c r="R97" i="682" s="1"/>
  <c r="O93" i="682"/>
  <c r="R93" i="682" s="1"/>
  <c r="O85" i="682"/>
  <c r="R85" i="682" s="1"/>
  <c r="N75" i="682"/>
  <c r="O71" i="682"/>
  <c r="R71" i="682" s="1"/>
  <c r="O65" i="682"/>
  <c r="R65" i="682" s="1"/>
  <c r="N64" i="682"/>
  <c r="N60" i="682"/>
  <c r="N189" i="682"/>
  <c r="N182" i="682"/>
  <c r="O176" i="682"/>
  <c r="R176" i="682" s="1"/>
  <c r="O168" i="682"/>
  <c r="R168" i="682" s="1"/>
  <c r="N163" i="682"/>
  <c r="N153" i="682"/>
  <c r="N151" i="682"/>
  <c r="O146" i="682"/>
  <c r="R146" i="682" s="1"/>
  <c r="N135" i="682"/>
  <c r="N132" i="682"/>
  <c r="Q132" i="682" s="1"/>
  <c r="O126" i="682"/>
  <c r="O124" i="682"/>
  <c r="N122" i="682"/>
  <c r="N119" i="682"/>
  <c r="N97" i="682"/>
  <c r="O92" i="682"/>
  <c r="R92" i="682" s="1"/>
  <c r="N63" i="682"/>
  <c r="O53" i="682"/>
  <c r="R53" i="682" s="1"/>
  <c r="O50" i="682"/>
  <c r="R50" i="682" s="1"/>
  <c r="O46" i="682"/>
  <c r="R46" i="682" s="1"/>
  <c r="O42" i="682"/>
  <c r="O36" i="682"/>
  <c r="R36" i="682" s="1"/>
  <c r="O33" i="682"/>
  <c r="R33" i="682" s="1"/>
  <c r="O26" i="682"/>
  <c r="R26" i="682" s="1"/>
  <c r="N21" i="682"/>
  <c r="N18" i="682"/>
  <c r="O47" i="682"/>
  <c r="R47" i="682" s="1"/>
  <c r="N42" i="682"/>
  <c r="N39" i="682"/>
  <c r="N36" i="682"/>
  <c r="O31" i="682"/>
  <c r="R31" i="682" s="1"/>
  <c r="O30" i="682"/>
  <c r="R30" i="682" s="1"/>
  <c r="O22" i="682"/>
  <c r="R22" i="682" s="1"/>
  <c r="N22" i="682"/>
  <c r="N149" i="682"/>
  <c r="O142" i="682"/>
  <c r="O138" i="682"/>
  <c r="R138" i="682" s="1"/>
  <c r="O103" i="682"/>
  <c r="O28" i="682"/>
  <c r="N70" i="682"/>
  <c r="N28" i="682"/>
  <c r="N24" i="682"/>
  <c r="O96" i="682"/>
  <c r="R96" i="682" s="1"/>
  <c r="N52" i="682"/>
  <c r="P52" i="682" s="1"/>
  <c r="N40" i="682"/>
  <c r="N34" i="682"/>
  <c r="N23" i="682"/>
  <c r="N16" i="682"/>
  <c r="O173" i="682"/>
  <c r="R173" i="682" s="1"/>
  <c r="N168" i="682"/>
  <c r="N161" i="682"/>
  <c r="N146" i="682"/>
  <c r="N130" i="682"/>
  <c r="N124" i="682"/>
  <c r="Q124" i="682" s="1"/>
  <c r="O109" i="682"/>
  <c r="R109" i="682" s="1"/>
  <c r="N100" i="682"/>
  <c r="N92" i="682"/>
  <c r="N78" i="682"/>
  <c r="N53" i="682"/>
  <c r="N50" i="682"/>
  <c r="N46" i="682"/>
  <c r="N33" i="682"/>
  <c r="N26" i="682"/>
  <c r="N154" i="682"/>
  <c r="N147" i="682"/>
  <c r="N144" i="682"/>
  <c r="O140" i="682"/>
  <c r="N127" i="682"/>
  <c r="N125" i="682"/>
  <c r="O117" i="682"/>
  <c r="R117" i="682" s="1"/>
  <c r="N110" i="682"/>
  <c r="O70" i="682"/>
  <c r="P70" i="682" s="1"/>
  <c r="N51" i="682"/>
  <c r="O48" i="682"/>
  <c r="R48" i="682" s="1"/>
  <c r="N43" i="682"/>
  <c r="O23" i="682"/>
  <c r="R23" i="682" s="1"/>
  <c r="O16" i="682"/>
  <c r="R16" i="682" s="1"/>
  <c r="O83" i="682"/>
  <c r="R83" i="682" s="1"/>
  <c r="O55" i="682"/>
  <c r="R55" i="682" s="1"/>
  <c r="O38" i="682"/>
  <c r="O17" i="682"/>
  <c r="R17" i="682" s="1"/>
  <c r="N25" i="682"/>
  <c r="N183" i="682"/>
  <c r="N173" i="682"/>
  <c r="O159" i="682"/>
  <c r="R159" i="682" s="1"/>
  <c r="O154" i="682"/>
  <c r="R154" i="682" s="1"/>
  <c r="O152" i="682"/>
  <c r="R152" i="682" s="1"/>
  <c r="O98" i="682"/>
  <c r="R98" i="682" s="1"/>
  <c r="N85" i="682"/>
  <c r="N82" i="682"/>
  <c r="O80" i="682"/>
  <c r="O76" i="682"/>
  <c r="R76" i="682" s="1"/>
  <c r="N54" i="682"/>
  <c r="O51" i="682"/>
  <c r="R51" i="682" s="1"/>
  <c r="N47" i="682"/>
  <c r="N41" i="682"/>
  <c r="N31" i="682"/>
  <c r="N30" i="682"/>
  <c r="N133" i="682"/>
  <c r="O74" i="682"/>
  <c r="R74" i="682" s="1"/>
  <c r="O67" i="682"/>
  <c r="R67" i="682" s="1"/>
  <c r="N59" i="682"/>
  <c r="P59" i="682" s="1"/>
  <c r="O43" i="682"/>
  <c r="R43" i="682" s="1"/>
  <c r="O24" i="682"/>
  <c r="R24" i="682" s="1"/>
  <c r="O101" i="682"/>
  <c r="R101" i="682" s="1"/>
  <c r="N79" i="682"/>
  <c r="N74" i="682"/>
  <c r="N62" i="682"/>
  <c r="P62" i="682" s="1"/>
  <c r="O40" i="682"/>
  <c r="O34" i="682"/>
  <c r="R34" i="682" s="1"/>
  <c r="O49" i="682"/>
  <c r="R49" i="682" s="1"/>
  <c r="N29" i="682"/>
  <c r="N190" i="682"/>
  <c r="O164" i="682"/>
  <c r="R164" i="682" s="1"/>
  <c r="O111" i="682"/>
  <c r="R111" i="682" s="1"/>
  <c r="O64" i="682"/>
  <c r="R64" i="682" s="1"/>
  <c r="O19" i="682"/>
  <c r="O188" i="682"/>
  <c r="R188" i="682" s="1"/>
  <c r="N186" i="682"/>
  <c r="N177" i="682"/>
  <c r="O175" i="682"/>
  <c r="R175" i="682" s="1"/>
  <c r="N174" i="682"/>
  <c r="O169" i="682"/>
  <c r="R169" i="682" s="1"/>
  <c r="O165" i="682"/>
  <c r="R165" i="682" s="1"/>
  <c r="O157" i="682"/>
  <c r="R157" i="682" s="1"/>
  <c r="N140" i="682"/>
  <c r="Q140" i="682" s="1"/>
  <c r="O136" i="682"/>
  <c r="R136" i="682" s="1"/>
  <c r="O121" i="682"/>
  <c r="R121" i="682" s="1"/>
  <c r="R120" i="682" s="1"/>
  <c r="N115" i="682"/>
  <c r="P115" i="682" s="1"/>
  <c r="N111" i="682"/>
  <c r="N103" i="682"/>
  <c r="N93" i="682"/>
  <c r="O18" i="682"/>
  <c r="R18" i="682" s="1"/>
  <c r="N191" i="682"/>
  <c r="N188" i="682"/>
  <c r="N179" i="682"/>
  <c r="O141" i="682"/>
  <c r="R141" i="682" s="1"/>
  <c r="O112" i="682"/>
  <c r="R112" i="682" s="1"/>
  <c r="N108" i="682"/>
  <c r="O106" i="682"/>
  <c r="R106" i="682" s="1"/>
  <c r="N101" i="682"/>
  <c r="N65" i="682"/>
  <c r="O21" i="682"/>
  <c r="R21" i="682" s="1"/>
  <c r="O184" i="682"/>
  <c r="R184" i="682" s="1"/>
  <c r="O172" i="682"/>
  <c r="R172" i="682" s="1"/>
  <c r="N170" i="682"/>
  <c r="N155" i="682"/>
  <c r="O150" i="682"/>
  <c r="R150" i="682" s="1"/>
  <c r="R149" i="682" s="1"/>
  <c r="N141" i="682"/>
  <c r="O134" i="682"/>
  <c r="R134" i="682" s="1"/>
  <c r="O129" i="682"/>
  <c r="O113" i="682"/>
  <c r="R113" i="682" s="1"/>
  <c r="N112" i="682"/>
  <c r="N96" i="682"/>
  <c r="O94" i="682"/>
  <c r="R94" i="682" s="1"/>
  <c r="N91" i="682"/>
  <c r="O84" i="682"/>
  <c r="R84" i="682" s="1"/>
  <c r="N83" i="682"/>
  <c r="N77" i="682"/>
  <c r="O57" i="682"/>
  <c r="R57" i="682" s="1"/>
  <c r="O56" i="682"/>
  <c r="R56" i="682" s="1"/>
  <c r="N55" i="682"/>
  <c r="N49" i="682"/>
  <c r="O45" i="682"/>
  <c r="R45" i="682" s="1"/>
  <c r="O44" i="682"/>
  <c r="R44" i="682" s="1"/>
  <c r="N38" i="682"/>
  <c r="N32" i="682"/>
  <c r="O29" i="682"/>
  <c r="R29" i="682" s="1"/>
  <c r="O25" i="682"/>
  <c r="R25" i="682" s="1"/>
  <c r="N19" i="682"/>
  <c r="N17" i="682"/>
  <c r="O192" i="682"/>
  <c r="R192" i="682" s="1"/>
  <c r="O189" i="682"/>
  <c r="R189" i="682" s="1"/>
  <c r="O182" i="682"/>
  <c r="R182" i="682" s="1"/>
  <c r="N172" i="682"/>
  <c r="O163" i="682"/>
  <c r="R163" i="682" s="1"/>
  <c r="O151" i="682"/>
  <c r="R151" i="682" s="1"/>
  <c r="N150" i="682"/>
  <c r="O145" i="682"/>
  <c r="R145" i="682" s="1"/>
  <c r="N134" i="682"/>
  <c r="O104" i="682"/>
  <c r="R104" i="682" s="1"/>
  <c r="O87" i="682"/>
  <c r="R87" i="682" s="1"/>
  <c r="N84" i="682"/>
  <c r="O75" i="682"/>
  <c r="R75" i="682" s="1"/>
  <c r="N71" i="682"/>
  <c r="O60" i="682"/>
  <c r="R60" i="682" s="1"/>
  <c r="R59" i="682" s="1"/>
  <c r="N57" i="682"/>
  <c r="N56" i="682"/>
  <c r="N45" i="682"/>
  <c r="N44" i="682"/>
  <c r="N35" i="682"/>
  <c r="N113" i="682"/>
  <c r="O63" i="682"/>
  <c r="R63" i="682" s="1"/>
  <c r="J28" i="551"/>
  <c r="T9" i="682" s="1"/>
  <c r="J25" i="551"/>
  <c r="T8" i="682" s="1"/>
  <c r="F22" i="555"/>
  <c r="M74" i="220"/>
  <c r="M75" i="220"/>
  <c r="M76" i="220"/>
  <c r="M61" i="220"/>
  <c r="M49" i="220"/>
  <c r="M72" i="220"/>
  <c r="M73" i="220"/>
  <c r="M55" i="220"/>
  <c r="M48" i="220"/>
  <c r="M44" i="220"/>
  <c r="M18" i="220"/>
  <c r="M24" i="220"/>
  <c r="P149" i="682" l="1"/>
  <c r="P129" i="682"/>
  <c r="R15" i="682"/>
  <c r="P179" i="682"/>
  <c r="P119" i="682"/>
  <c r="P153" i="682"/>
  <c r="Q91" i="682"/>
  <c r="S91" i="682" s="1"/>
  <c r="P91" i="682"/>
  <c r="P93" i="682"/>
  <c r="Q93" i="682"/>
  <c r="S93" i="682" s="1"/>
  <c r="Q127" i="682"/>
  <c r="P127" i="682"/>
  <c r="P124" i="682"/>
  <c r="R124" i="682"/>
  <c r="R122" i="682" s="1"/>
  <c r="Q184" i="682"/>
  <c r="S184" i="682" s="1"/>
  <c r="P184" i="682"/>
  <c r="Q167" i="682"/>
  <c r="P167" i="682"/>
  <c r="Q128" i="682"/>
  <c r="S128" i="682" s="1"/>
  <c r="P128" i="682"/>
  <c r="Q48" i="682"/>
  <c r="S48" i="682" s="1"/>
  <c r="P48" i="682"/>
  <c r="P183" i="682"/>
  <c r="Q183" i="682"/>
  <c r="S183" i="682" s="1"/>
  <c r="R153" i="682"/>
  <c r="P107" i="682"/>
  <c r="Q107" i="682"/>
  <c r="S107" i="682" s="1"/>
  <c r="P170" i="682"/>
  <c r="Q170" i="682"/>
  <c r="S170" i="682" s="1"/>
  <c r="Q82" i="682"/>
  <c r="S82" i="682" s="1"/>
  <c r="P82" i="682"/>
  <c r="Q168" i="682"/>
  <c r="S168" i="682" s="1"/>
  <c r="P168" i="682"/>
  <c r="P166" i="682"/>
  <c r="Q106" i="682"/>
  <c r="S106" i="682" s="1"/>
  <c r="P106" i="682"/>
  <c r="Q51" i="682"/>
  <c r="S51" i="682" s="1"/>
  <c r="P51" i="682"/>
  <c r="P116" i="682"/>
  <c r="Q116" i="682"/>
  <c r="P139" i="682"/>
  <c r="P117" i="682"/>
  <c r="Q117" i="682"/>
  <c r="S117" i="682" s="1"/>
  <c r="R52" i="682"/>
  <c r="Q35" i="682"/>
  <c r="S35" i="682" s="1"/>
  <c r="P35" i="682"/>
  <c r="Q84" i="682"/>
  <c r="S84" i="682" s="1"/>
  <c r="P84" i="682"/>
  <c r="Q172" i="682"/>
  <c r="S172" i="682" s="1"/>
  <c r="P172" i="682"/>
  <c r="P77" i="682"/>
  <c r="Q77" i="682"/>
  <c r="S77" i="682" s="1"/>
  <c r="Q44" i="682"/>
  <c r="S44" i="682" s="1"/>
  <c r="P44" i="682"/>
  <c r="Q83" i="682"/>
  <c r="S83" i="682" s="1"/>
  <c r="P83" i="682"/>
  <c r="Q65" i="682"/>
  <c r="S65" i="682" s="1"/>
  <c r="P65" i="682"/>
  <c r="Q45" i="682"/>
  <c r="S45" i="682" s="1"/>
  <c r="P45" i="682"/>
  <c r="Q141" i="682"/>
  <c r="S141" i="682" s="1"/>
  <c r="P141" i="682"/>
  <c r="Q101" i="682"/>
  <c r="S101" i="682" s="1"/>
  <c r="P101" i="682"/>
  <c r="Q54" i="682"/>
  <c r="S54" i="682" s="1"/>
  <c r="P54" i="682"/>
  <c r="Q125" i="682"/>
  <c r="S125" i="682" s="1"/>
  <c r="P125" i="682"/>
  <c r="Q46" i="682"/>
  <c r="S46" i="682" s="1"/>
  <c r="P46" i="682"/>
  <c r="P130" i="682"/>
  <c r="Q130" i="682"/>
  <c r="P39" i="682"/>
  <c r="Q39" i="682"/>
  <c r="P122" i="682"/>
  <c r="P163" i="682"/>
  <c r="Q163" i="682"/>
  <c r="S163" i="682" s="1"/>
  <c r="R70" i="682"/>
  <c r="P121" i="682"/>
  <c r="Q121" i="682"/>
  <c r="P72" i="682"/>
  <c r="Q72" i="682"/>
  <c r="S72" i="682" s="1"/>
  <c r="P132" i="682"/>
  <c r="R132" i="682"/>
  <c r="R129" i="682" s="1"/>
  <c r="Q162" i="682"/>
  <c r="S162" i="682" s="1"/>
  <c r="P162" i="682"/>
  <c r="Q187" i="682"/>
  <c r="S187" i="682" s="1"/>
  <c r="P187" i="682"/>
  <c r="P89" i="682"/>
  <c r="Q89" i="682"/>
  <c r="S89" i="682" s="1"/>
  <c r="P80" i="682"/>
  <c r="P138" i="682"/>
  <c r="Q138" i="682"/>
  <c r="S138" i="682" s="1"/>
  <c r="P53" i="682"/>
  <c r="Q53" i="682"/>
  <c r="Q152" i="682"/>
  <c r="S152" i="682" s="1"/>
  <c r="P152" i="682"/>
  <c r="Q66" i="682"/>
  <c r="S66" i="682" s="1"/>
  <c r="P66" i="682"/>
  <c r="Q160" i="682"/>
  <c r="S160" i="682" s="1"/>
  <c r="P160" i="682"/>
  <c r="P104" i="682"/>
  <c r="Q104" i="682"/>
  <c r="Q43" i="682"/>
  <c r="P43" i="682"/>
  <c r="P126" i="682"/>
  <c r="P171" i="682"/>
  <c r="Q171" i="682"/>
  <c r="S171" i="682" s="1"/>
  <c r="P131" i="682"/>
  <c r="Q131" i="682"/>
  <c r="S131" i="682" s="1"/>
  <c r="P142" i="682"/>
  <c r="P79" i="682"/>
  <c r="Q79" i="682"/>
  <c r="S79" i="682" s="1"/>
  <c r="Q25" i="682"/>
  <c r="S25" i="682" s="1"/>
  <c r="P25" i="682"/>
  <c r="Q78" i="682"/>
  <c r="S78" i="682" s="1"/>
  <c r="P78" i="682"/>
  <c r="Q24" i="682"/>
  <c r="S24" i="682" s="1"/>
  <c r="P24" i="682"/>
  <c r="Q18" i="682"/>
  <c r="S18" i="682" s="1"/>
  <c r="P18" i="682"/>
  <c r="Q182" i="682"/>
  <c r="S182" i="682" s="1"/>
  <c r="P182" i="682"/>
  <c r="Q164" i="682"/>
  <c r="S164" i="682" s="1"/>
  <c r="P164" i="682"/>
  <c r="Q176" i="682"/>
  <c r="S176" i="682" s="1"/>
  <c r="P176" i="682"/>
  <c r="Q63" i="682"/>
  <c r="P63" i="682"/>
  <c r="Q189" i="682"/>
  <c r="S189" i="682" s="1"/>
  <c r="P189" i="682"/>
  <c r="Q165" i="682"/>
  <c r="S165" i="682" s="1"/>
  <c r="P165" i="682"/>
  <c r="R166" i="682"/>
  <c r="P113" i="682"/>
  <c r="Q113" i="682"/>
  <c r="S113" i="682" s="1"/>
  <c r="Q177" i="682"/>
  <c r="S177" i="682" s="1"/>
  <c r="P177" i="682"/>
  <c r="Q29" i="682"/>
  <c r="P29" i="682"/>
  <c r="P154" i="682"/>
  <c r="Q154" i="682"/>
  <c r="Q100" i="682"/>
  <c r="S100" i="682" s="1"/>
  <c r="P100" i="682"/>
  <c r="P16" i="682"/>
  <c r="Q16" i="682"/>
  <c r="Q60" i="682"/>
  <c r="P60" i="682"/>
  <c r="P109" i="682"/>
  <c r="Q109" i="682"/>
  <c r="S109" i="682" s="1"/>
  <c r="Q90" i="682"/>
  <c r="S90" i="682" s="1"/>
  <c r="P90" i="682"/>
  <c r="P180" i="682"/>
  <c r="Q180" i="682"/>
  <c r="P81" i="682"/>
  <c r="Q81" i="682"/>
  <c r="Q105" i="682"/>
  <c r="S105" i="682" s="1"/>
  <c r="P105" i="682"/>
  <c r="Q143" i="682"/>
  <c r="P143" i="682"/>
  <c r="R28" i="682"/>
  <c r="Q67" i="682"/>
  <c r="S67" i="682" s="1"/>
  <c r="P67" i="682"/>
  <c r="Q192" i="682"/>
  <c r="S192" i="682" s="1"/>
  <c r="P192" i="682"/>
  <c r="Q56" i="682"/>
  <c r="S56" i="682" s="1"/>
  <c r="P56" i="682"/>
  <c r="Q50" i="682"/>
  <c r="S50" i="682" s="1"/>
  <c r="P50" i="682"/>
  <c r="Q75" i="682"/>
  <c r="S75" i="682" s="1"/>
  <c r="P75" i="682"/>
  <c r="P102" i="682"/>
  <c r="Q102" i="682"/>
  <c r="S102" i="682" s="1"/>
  <c r="R80" i="682"/>
  <c r="Q17" i="682"/>
  <c r="S17" i="682" s="1"/>
  <c r="P17" i="682"/>
  <c r="P108" i="682"/>
  <c r="Q108" i="682"/>
  <c r="S108" i="682" s="1"/>
  <c r="Q55" i="682"/>
  <c r="S55" i="682" s="1"/>
  <c r="P55" i="682"/>
  <c r="P174" i="682"/>
  <c r="Q174" i="682"/>
  <c r="S174" i="682" s="1"/>
  <c r="R42" i="682"/>
  <c r="Q22" i="682"/>
  <c r="S22" i="682" s="1"/>
  <c r="P22" i="682"/>
  <c r="Q99" i="682"/>
  <c r="S99" i="682" s="1"/>
  <c r="P99" i="682"/>
  <c r="Q87" i="682"/>
  <c r="S87" i="682" s="1"/>
  <c r="P87" i="682"/>
  <c r="R62" i="682"/>
  <c r="P85" i="682"/>
  <c r="Q85" i="682"/>
  <c r="S85" i="682" s="1"/>
  <c r="Q92" i="682"/>
  <c r="S92" i="682" s="1"/>
  <c r="P92" i="682"/>
  <c r="Q135" i="682"/>
  <c r="S135" i="682" s="1"/>
  <c r="P135" i="682"/>
  <c r="P178" i="682"/>
  <c r="Q178" i="682"/>
  <c r="S178" i="682" s="1"/>
  <c r="Q73" i="682"/>
  <c r="S73" i="682" s="1"/>
  <c r="P73" i="682"/>
  <c r="P194" i="682"/>
  <c r="Q194" i="682"/>
  <c r="P148" i="682"/>
  <c r="R148" i="682"/>
  <c r="S148" i="682" s="1"/>
  <c r="P32" i="682"/>
  <c r="Q32" i="682"/>
  <c r="S32" i="682" s="1"/>
  <c r="R20" i="682"/>
  <c r="Q188" i="682"/>
  <c r="S188" i="682" s="1"/>
  <c r="P188" i="682"/>
  <c r="P186" i="682"/>
  <c r="Q186" i="682"/>
  <c r="S186" i="682" s="1"/>
  <c r="Q47" i="682"/>
  <c r="S47" i="682" s="1"/>
  <c r="P47" i="682"/>
  <c r="Q110" i="682"/>
  <c r="S110" i="682" s="1"/>
  <c r="P110" i="682"/>
  <c r="Q26" i="682"/>
  <c r="S26" i="682" s="1"/>
  <c r="P26" i="682"/>
  <c r="Q23" i="682"/>
  <c r="S23" i="682" s="1"/>
  <c r="P23" i="682"/>
  <c r="Q97" i="682"/>
  <c r="S97" i="682" s="1"/>
  <c r="P97" i="682"/>
  <c r="Q151" i="682"/>
  <c r="S151" i="682" s="1"/>
  <c r="P151" i="682"/>
  <c r="Q64" i="682"/>
  <c r="S64" i="682" s="1"/>
  <c r="P64" i="682"/>
  <c r="P136" i="682"/>
  <c r="Q136" i="682"/>
  <c r="S136" i="682" s="1"/>
  <c r="Q123" i="682"/>
  <c r="P123" i="682"/>
  <c r="P158" i="682"/>
  <c r="Q158" i="682"/>
  <c r="S158" i="682" s="1"/>
  <c r="Q181" i="682"/>
  <c r="S181" i="682" s="1"/>
  <c r="P181" i="682"/>
  <c r="Q86" i="682"/>
  <c r="S86" i="682" s="1"/>
  <c r="P86" i="682"/>
  <c r="Q94" i="682"/>
  <c r="S94" i="682" s="1"/>
  <c r="P94" i="682"/>
  <c r="Q157" i="682"/>
  <c r="S157" i="682" s="1"/>
  <c r="P157" i="682"/>
  <c r="Q134" i="682"/>
  <c r="S134" i="682" s="1"/>
  <c r="P134" i="682"/>
  <c r="Q173" i="682"/>
  <c r="S173" i="682" s="1"/>
  <c r="P173" i="682"/>
  <c r="P146" i="682"/>
  <c r="Q146" i="682"/>
  <c r="S146" i="682" s="1"/>
  <c r="Q185" i="682"/>
  <c r="S185" i="682" s="1"/>
  <c r="P185" i="682"/>
  <c r="Q57" i="682"/>
  <c r="S57" i="682" s="1"/>
  <c r="P57" i="682"/>
  <c r="Q49" i="682"/>
  <c r="S49" i="682" s="1"/>
  <c r="P49" i="682"/>
  <c r="Q155" i="682"/>
  <c r="S155" i="682" s="1"/>
  <c r="P155" i="682"/>
  <c r="Q74" i="682"/>
  <c r="S74" i="682" s="1"/>
  <c r="P74" i="682"/>
  <c r="Q133" i="682"/>
  <c r="S133" i="682" s="1"/>
  <c r="P133" i="682"/>
  <c r="P140" i="682"/>
  <c r="R140" i="682"/>
  <c r="R139" i="682" s="1"/>
  <c r="Q161" i="682"/>
  <c r="S161" i="682" s="1"/>
  <c r="P161" i="682"/>
  <c r="P169" i="682"/>
  <c r="Q169" i="682"/>
  <c r="S169" i="682" s="1"/>
  <c r="Q150" i="682"/>
  <c r="P150" i="682"/>
  <c r="Q96" i="682"/>
  <c r="S96" i="682" s="1"/>
  <c r="P96" i="682"/>
  <c r="Q111" i="682"/>
  <c r="S111" i="682" s="1"/>
  <c r="P111" i="682"/>
  <c r="P30" i="682"/>
  <c r="Q30" i="682"/>
  <c r="S30" i="682" s="1"/>
  <c r="Q144" i="682"/>
  <c r="S144" i="682" s="1"/>
  <c r="P144" i="682"/>
  <c r="S132" i="682"/>
  <c r="R103" i="682"/>
  <c r="Q137" i="682"/>
  <c r="S137" i="682" s="1"/>
  <c r="P137" i="682"/>
  <c r="Q71" i="682"/>
  <c r="P71" i="682"/>
  <c r="Q112" i="682"/>
  <c r="S112" i="682" s="1"/>
  <c r="P112" i="682"/>
  <c r="P190" i="682"/>
  <c r="P31" i="682"/>
  <c r="Q31" i="682"/>
  <c r="S31" i="682" s="1"/>
  <c r="Q147" i="682"/>
  <c r="S147" i="682" s="1"/>
  <c r="P147" i="682"/>
  <c r="Q21" i="682"/>
  <c r="P21" i="682"/>
  <c r="Q191" i="682"/>
  <c r="P191" i="682"/>
  <c r="Q33" i="682"/>
  <c r="S33" i="682" s="1"/>
  <c r="P33" i="682"/>
  <c r="P34" i="682"/>
  <c r="Q34" i="682"/>
  <c r="S34" i="682" s="1"/>
  <c r="Q36" i="682"/>
  <c r="S36" i="682" s="1"/>
  <c r="P36" i="682"/>
  <c r="Q145" i="682"/>
  <c r="S145" i="682" s="1"/>
  <c r="P145" i="682"/>
  <c r="Q175" i="682"/>
  <c r="S175" i="682" s="1"/>
  <c r="P175" i="682"/>
  <c r="P68" i="682"/>
  <c r="Q68" i="682"/>
  <c r="S68" i="682" s="1"/>
  <c r="Q95" i="682"/>
  <c r="S95" i="682" s="1"/>
  <c r="P95" i="682"/>
  <c r="Q88" i="682"/>
  <c r="S88" i="682" s="1"/>
  <c r="P88" i="682"/>
  <c r="R115" i="682"/>
  <c r="Q156" i="682"/>
  <c r="S156" i="682" s="1"/>
  <c r="P156" i="682"/>
  <c r="R179" i="682"/>
  <c r="Q76" i="682"/>
  <c r="S76" i="682" s="1"/>
  <c r="P76" i="682"/>
  <c r="P98" i="682"/>
  <c r="Q98" i="682"/>
  <c r="S98" i="682" s="1"/>
  <c r="Q159" i="682"/>
  <c r="S159" i="682" s="1"/>
  <c r="P159" i="682"/>
  <c r="G22" i="555"/>
  <c r="S124" i="682" l="1"/>
  <c r="Q139" i="682"/>
  <c r="S150" i="682"/>
  <c r="Q149" i="682"/>
  <c r="Q15" i="682"/>
  <c r="S16" i="682"/>
  <c r="Q122" i="682"/>
  <c r="S123" i="682"/>
  <c r="Q153" i="682"/>
  <c r="S154" i="682"/>
  <c r="S104" i="682"/>
  <c r="Q103" i="682"/>
  <c r="S53" i="682"/>
  <c r="Q52" i="682"/>
  <c r="Q120" i="682"/>
  <c r="S121" i="682"/>
  <c r="S130" i="682"/>
  <c r="Q129" i="682"/>
  <c r="S140" i="682"/>
  <c r="S127" i="682"/>
  <c r="Q126" i="682"/>
  <c r="Q190" i="682"/>
  <c r="S191" i="682"/>
  <c r="S81" i="682"/>
  <c r="Q80" i="682"/>
  <c r="Q20" i="682"/>
  <c r="S21" i="682"/>
  <c r="Q70" i="682"/>
  <c r="S71" i="682"/>
  <c r="S167" i="682"/>
  <c r="Q166" i="682"/>
  <c r="R142" i="682"/>
  <c r="R119" i="682" s="1"/>
  <c r="R198" i="682" s="1"/>
  <c r="R41" i="682"/>
  <c r="S63" i="682"/>
  <c r="Q62" i="682"/>
  <c r="S116" i="682"/>
  <c r="Q115" i="682"/>
  <c r="Q193" i="682"/>
  <c r="S194" i="682"/>
  <c r="S60" i="682"/>
  <c r="Q59" i="682"/>
  <c r="S29" i="682"/>
  <c r="Q28" i="682"/>
  <c r="Q179" i="682"/>
  <c r="S180" i="682"/>
  <c r="S143" i="682"/>
  <c r="Q142" i="682"/>
  <c r="S43" i="682"/>
  <c r="Q42" i="682"/>
  <c r="S39" i="682"/>
  <c r="Q38" i="682"/>
  <c r="K11" i="555"/>
  <c r="J120" i="220"/>
  <c r="L118" i="220"/>
  <c r="L116" i="220" s="1"/>
  <c r="F26" i="555" s="1"/>
  <c r="K118" i="220"/>
  <c r="K116" i="220" s="1"/>
  <c r="E26" i="555" s="1"/>
  <c r="J118" i="220"/>
  <c r="Q41" i="682" l="1"/>
  <c r="S80" i="682"/>
  <c r="S38" i="682"/>
  <c r="S62" i="682"/>
  <c r="S153" i="682"/>
  <c r="S42" i="682"/>
  <c r="S142" i="682"/>
  <c r="Q119" i="682"/>
  <c r="Q198" i="682" s="1"/>
  <c r="S166" i="682"/>
  <c r="S15" i="682"/>
  <c r="S59" i="682"/>
  <c r="S193" i="682"/>
  <c r="S120" i="682"/>
  <c r="S190" i="682"/>
  <c r="S179" i="682"/>
  <c r="S115" i="682"/>
  <c r="S70" i="682"/>
  <c r="S52" i="682"/>
  <c r="S129" i="682"/>
  <c r="S122" i="682"/>
  <c r="S126" i="682"/>
  <c r="S28" i="682"/>
  <c r="S20" i="682"/>
  <c r="S139" i="682"/>
  <c r="S103" i="682"/>
  <c r="S149" i="682"/>
  <c r="M118" i="220"/>
  <c r="M116" i="220" s="1"/>
  <c r="G26" i="555" s="1"/>
  <c r="S119" i="682" l="1"/>
  <c r="S41" i="682"/>
  <c r="Q20" i="7"/>
  <c r="S198" i="682" l="1"/>
  <c r="C31" i="561"/>
  <c r="J116" i="220"/>
  <c r="L105" i="220"/>
  <c r="K105" i="220"/>
  <c r="J105" i="220"/>
  <c r="J53" i="220"/>
  <c r="J54" i="220"/>
  <c r="K54" i="220"/>
  <c r="K53" i="220" s="1"/>
  <c r="L54" i="220"/>
  <c r="L53" i="220" s="1"/>
  <c r="J60" i="220"/>
  <c r="K60" i="220"/>
  <c r="E21" i="555" s="1"/>
  <c r="L60" i="220"/>
  <c r="F21" i="555" s="1"/>
  <c r="K71" i="220"/>
  <c r="E23" i="555" s="1"/>
  <c r="L71" i="220"/>
  <c r="F23" i="555" s="1"/>
  <c r="J81" i="220"/>
  <c r="J82" i="220"/>
  <c r="K82" i="220"/>
  <c r="K81" i="220" s="1"/>
  <c r="L82" i="220"/>
  <c r="L81" i="220" s="1"/>
  <c r="T82" i="682" l="1"/>
  <c r="T34" i="682"/>
  <c r="T161" i="682"/>
  <c r="T129" i="682"/>
  <c r="T97" i="682"/>
  <c r="T17" i="682"/>
  <c r="T160" i="682"/>
  <c r="T112" i="682"/>
  <c r="T48" i="682"/>
  <c r="T175" i="682"/>
  <c r="T127" i="682"/>
  <c r="T79" i="682"/>
  <c r="T31" i="682"/>
  <c r="T174" i="682"/>
  <c r="T126" i="682"/>
  <c r="T62" i="682"/>
  <c r="T189" i="682"/>
  <c r="T173" i="682"/>
  <c r="T157" i="682"/>
  <c r="T141" i="682"/>
  <c r="T125" i="682"/>
  <c r="T109" i="682"/>
  <c r="T93" i="682"/>
  <c r="T77" i="682"/>
  <c r="T61" i="682"/>
  <c r="T45" i="682"/>
  <c r="T29" i="682"/>
  <c r="T188" i="682"/>
  <c r="T172" i="682"/>
  <c r="T156" i="682"/>
  <c r="T140" i="682"/>
  <c r="T124" i="682"/>
  <c r="T108" i="682"/>
  <c r="T92" i="682"/>
  <c r="T76" i="682"/>
  <c r="T60" i="682"/>
  <c r="T44" i="682"/>
  <c r="T28" i="682"/>
  <c r="T153" i="682"/>
  <c r="T105" i="682"/>
  <c r="T89" i="682"/>
  <c r="T41" i="682"/>
  <c r="T25" i="682"/>
  <c r="T184" i="682"/>
  <c r="T136" i="682"/>
  <c r="T88" i="682"/>
  <c r="T40" i="682"/>
  <c r="T151" i="682"/>
  <c r="T135" i="682"/>
  <c r="T87" i="682"/>
  <c r="T23" i="682"/>
  <c r="T166" i="682"/>
  <c r="T134" i="682"/>
  <c r="T70" i="682"/>
  <c r="T22" i="682"/>
  <c r="T187" i="682"/>
  <c r="T171" i="682"/>
  <c r="T155" i="682"/>
  <c r="T139" i="682"/>
  <c r="T123" i="682"/>
  <c r="T107" i="682"/>
  <c r="T91" i="682"/>
  <c r="T75" i="682"/>
  <c r="T59" i="682"/>
  <c r="T43" i="682"/>
  <c r="T27" i="682"/>
  <c r="T186" i="682"/>
  <c r="T170" i="682"/>
  <c r="T154" i="682"/>
  <c r="T122" i="682"/>
  <c r="T106" i="682"/>
  <c r="T90" i="682"/>
  <c r="T74" i="682"/>
  <c r="T58" i="682"/>
  <c r="T26" i="682"/>
  <c r="T185" i="682"/>
  <c r="T137" i="682"/>
  <c r="T73" i="682"/>
  <c r="T152" i="682"/>
  <c r="T120" i="682"/>
  <c r="T72" i="682"/>
  <c r="T24" i="682"/>
  <c r="T167" i="682"/>
  <c r="T119" i="682"/>
  <c r="T71" i="682"/>
  <c r="T39" i="682"/>
  <c r="T182" i="682"/>
  <c r="T102" i="682"/>
  <c r="T54" i="682"/>
  <c r="T138" i="682"/>
  <c r="T42" i="682"/>
  <c r="T169" i="682"/>
  <c r="T121" i="682"/>
  <c r="T57" i="682"/>
  <c r="T168" i="682"/>
  <c r="T104" i="682"/>
  <c r="T56" i="682"/>
  <c r="T183" i="682"/>
  <c r="T103" i="682"/>
  <c r="T55" i="682"/>
  <c r="T150" i="682"/>
  <c r="T118" i="682"/>
  <c r="T86" i="682"/>
  <c r="T38" i="682"/>
  <c r="T181" i="682"/>
  <c r="T165" i="682"/>
  <c r="T149" i="682"/>
  <c r="T133" i="682"/>
  <c r="T117" i="682"/>
  <c r="T101" i="682"/>
  <c r="T85" i="682"/>
  <c r="T69" i="682"/>
  <c r="T53" i="682"/>
  <c r="T37" i="682"/>
  <c r="T21" i="682"/>
  <c r="T180" i="682"/>
  <c r="T164" i="682"/>
  <c r="T148" i="682"/>
  <c r="T132" i="682"/>
  <c r="T116" i="682"/>
  <c r="T100" i="682"/>
  <c r="T84" i="682"/>
  <c r="T68" i="682"/>
  <c r="T52" i="682"/>
  <c r="T36" i="682"/>
  <c r="T20" i="682"/>
  <c r="T177" i="682"/>
  <c r="T145" i="682"/>
  <c r="T65" i="682"/>
  <c r="T49" i="682"/>
  <c r="T192" i="682"/>
  <c r="T144" i="682"/>
  <c r="T96" i="682"/>
  <c r="T64" i="682"/>
  <c r="T159" i="682"/>
  <c r="T111" i="682"/>
  <c r="T63" i="682"/>
  <c r="T158" i="682"/>
  <c r="T110" i="682"/>
  <c r="T78" i="682"/>
  <c r="T30" i="682"/>
  <c r="T179" i="682"/>
  <c r="T163" i="682"/>
  <c r="T147" i="682"/>
  <c r="T131" i="682"/>
  <c r="T115" i="682"/>
  <c r="T99" i="682"/>
  <c r="T83" i="682"/>
  <c r="T67" i="682"/>
  <c r="T51" i="682"/>
  <c r="T35" i="682"/>
  <c r="T19" i="682"/>
  <c r="T194" i="682"/>
  <c r="T178" i="682"/>
  <c r="T162" i="682"/>
  <c r="T146" i="682"/>
  <c r="T130" i="682"/>
  <c r="T114" i="682"/>
  <c r="T98" i="682"/>
  <c r="T66" i="682"/>
  <c r="T50" i="682"/>
  <c r="T18" i="682"/>
  <c r="T193" i="682"/>
  <c r="T113" i="682"/>
  <c r="T81" i="682"/>
  <c r="T33" i="682"/>
  <c r="T176" i="682"/>
  <c r="T128" i="682"/>
  <c r="T80" i="682"/>
  <c r="T32" i="682"/>
  <c r="T191" i="682"/>
  <c r="T143" i="682"/>
  <c r="T95" i="682"/>
  <c r="T47" i="682"/>
  <c r="T190" i="682"/>
  <c r="T142" i="682"/>
  <c r="T94" i="682"/>
  <c r="T46" i="682"/>
  <c r="T16" i="682"/>
  <c r="T15" i="682"/>
  <c r="K104" i="220"/>
  <c r="E25" i="555" s="1"/>
  <c r="L104" i="220"/>
  <c r="F25" i="555" s="1"/>
  <c r="F24" i="555"/>
  <c r="E24" i="555"/>
  <c r="M82" i="220"/>
  <c r="M81" i="220" s="1"/>
  <c r="M60" i="220"/>
  <c r="G21" i="555" s="1"/>
  <c r="M105" i="220"/>
  <c r="M71" i="220"/>
  <c r="G23" i="555" s="1"/>
  <c r="M54" i="220"/>
  <c r="M53" i="220" s="1"/>
  <c r="M104" i="220" l="1"/>
  <c r="G25" i="555" s="1"/>
  <c r="G24" i="555"/>
  <c r="Q16" i="7"/>
  <c r="C9" i="607" l="1"/>
  <c r="G8" i="607"/>
  <c r="K7" i="607"/>
  <c r="G7" i="607"/>
  <c r="C7" i="607"/>
  <c r="K6" i="607"/>
  <c r="G6" i="607"/>
  <c r="C6" i="607"/>
  <c r="L17" i="220"/>
  <c r="K17" i="220"/>
  <c r="L16" i="220"/>
  <c r="K16" i="220"/>
  <c r="L25" i="220"/>
  <c r="K25" i="220"/>
  <c r="L23" i="220"/>
  <c r="K23" i="220"/>
  <c r="L22" i="220"/>
  <c r="K22" i="220"/>
  <c r="L21" i="220"/>
  <c r="K21" i="220"/>
  <c r="L30" i="220"/>
  <c r="K30" i="220"/>
  <c r="L29" i="220"/>
  <c r="K29" i="220"/>
  <c r="L39" i="220"/>
  <c r="K39" i="220"/>
  <c r="J39" i="220"/>
  <c r="J29" i="220"/>
  <c r="J43" i="220"/>
  <c r="L28" i="220" l="1"/>
  <c r="F18" i="555" s="1"/>
  <c r="K28" i="220"/>
  <c r="E18" i="555" s="1"/>
  <c r="L20" i="220"/>
  <c r="F17" i="555" s="1"/>
  <c r="K20" i="220"/>
  <c r="E17" i="555" s="1"/>
  <c r="K15" i="220"/>
  <c r="E16" i="555" s="1"/>
  <c r="L15" i="220"/>
  <c r="F16" i="555" s="1"/>
  <c r="K38" i="220"/>
  <c r="E19" i="555" s="1"/>
  <c r="L38" i="220"/>
  <c r="F19" i="555" s="1"/>
  <c r="M30" i="220"/>
  <c r="M21" i="220"/>
  <c r="M22" i="220"/>
  <c r="M16" i="220"/>
  <c r="M39" i="220"/>
  <c r="M23" i="220"/>
  <c r="M17" i="220"/>
  <c r="M29" i="220"/>
  <c r="M25" i="220"/>
  <c r="M28" i="220" l="1"/>
  <c r="G18" i="555" s="1"/>
  <c r="M20" i="220"/>
  <c r="G17" i="555" s="1"/>
  <c r="M15" i="220"/>
  <c r="G16" i="555" s="1"/>
  <c r="M38" i="220"/>
  <c r="G19" i="555" s="1"/>
  <c r="L50" i="220"/>
  <c r="K50" i="220"/>
  <c r="L43" i="220"/>
  <c r="K43" i="220"/>
  <c r="K42" i="220" l="1"/>
  <c r="K41" i="220" s="1"/>
  <c r="E20" i="555" s="1"/>
  <c r="L42" i="220"/>
  <c r="L41" i="220" s="1"/>
  <c r="F20" i="555" s="1"/>
  <c r="M50" i="220"/>
  <c r="M43" i="220"/>
  <c r="K201" i="220" l="1"/>
  <c r="L201" i="220"/>
  <c r="M42" i="220"/>
  <c r="M41" i="220" s="1"/>
  <c r="G20" i="555" l="1"/>
  <c r="M201" i="220"/>
  <c r="C11" i="548"/>
  <c r="G10" i="548"/>
  <c r="J9" i="548"/>
  <c r="G9" i="548"/>
  <c r="C9" i="548"/>
  <c r="J8" i="548"/>
  <c r="G8" i="548"/>
  <c r="C8" i="548"/>
  <c r="AH11" i="561"/>
  <c r="AG11" i="561"/>
  <c r="C11" i="561"/>
  <c r="AG10" i="561"/>
  <c r="T10" i="561"/>
  <c r="AG9" i="561"/>
  <c r="S9" i="561"/>
  <c r="C9" i="561"/>
  <c r="AG8" i="561"/>
  <c r="T8" i="561"/>
  <c r="C8" i="561"/>
  <c r="AG7" i="561"/>
  <c r="C11" i="220"/>
  <c r="P10" i="220"/>
  <c r="C10" i="7"/>
  <c r="T9" i="220"/>
  <c r="AH8" i="561" s="1"/>
  <c r="P9" i="220"/>
  <c r="Q9" i="7" s="1"/>
  <c r="C9" i="220"/>
  <c r="C9" i="7" s="1"/>
  <c r="T8" i="220"/>
  <c r="AH7" i="561" s="1"/>
  <c r="P8" i="220"/>
  <c r="Q8" i="7" s="1"/>
  <c r="C8" i="220"/>
  <c r="C8" i="7" s="1"/>
  <c r="H10" i="555"/>
  <c r="K9" i="555"/>
  <c r="C9" i="555"/>
  <c r="K8" i="555"/>
  <c r="H8" i="555"/>
  <c r="C8" i="555"/>
  <c r="J11" i="548"/>
  <c r="G11" i="681" s="1"/>
  <c r="G8" i="681" l="1"/>
  <c r="Y9" i="554"/>
  <c r="G7" i="681"/>
  <c r="Y8" i="554"/>
  <c r="G10" i="681"/>
  <c r="Y11" i="554"/>
  <c r="Y10" i="554"/>
  <c r="G9" i="681"/>
  <c r="Y9" i="678"/>
  <c r="Y9" i="677"/>
  <c r="Y9" i="679"/>
  <c r="Y11" i="679"/>
  <c r="Y11" i="678"/>
  <c r="Y11" i="677"/>
  <c r="Y8" i="679"/>
  <c r="Y8" i="678"/>
  <c r="Y8" i="677"/>
  <c r="Y10" i="677"/>
  <c r="Y10" i="679"/>
  <c r="Y10" i="678"/>
  <c r="T11" i="220"/>
  <c r="K9" i="607"/>
  <c r="K8" i="607"/>
  <c r="K10" i="555"/>
  <c r="T10" i="220"/>
  <c r="J10" i="548"/>
  <c r="E11" i="681" s="1"/>
  <c r="O147" i="220" l="1"/>
  <c r="R147" i="220" s="1"/>
  <c r="N147" i="220"/>
  <c r="O52" i="220"/>
  <c r="N52" i="220"/>
  <c r="N114" i="220"/>
  <c r="O114" i="220"/>
  <c r="R114" i="220" s="1"/>
  <c r="N57" i="220"/>
  <c r="O57" i="220"/>
  <c r="R57" i="220" s="1"/>
  <c r="N176" i="220"/>
  <c r="O176" i="220"/>
  <c r="R176" i="220" s="1"/>
  <c r="O163" i="220"/>
  <c r="R163" i="220" s="1"/>
  <c r="N163" i="220"/>
  <c r="O32" i="220"/>
  <c r="R32" i="220" s="1"/>
  <c r="N33" i="220"/>
  <c r="N34" i="220"/>
  <c r="O33" i="220"/>
  <c r="R33" i="220" s="1"/>
  <c r="N31" i="220"/>
  <c r="N36" i="220"/>
  <c r="O31" i="220"/>
  <c r="R31" i="220" s="1"/>
  <c r="N35" i="220"/>
  <c r="O36" i="220"/>
  <c r="R36" i="220" s="1"/>
  <c r="O34" i="220"/>
  <c r="R34" i="220" s="1"/>
  <c r="N32" i="220"/>
  <c r="O35" i="220"/>
  <c r="R35" i="220" s="1"/>
  <c r="N26" i="220"/>
  <c r="O26" i="220"/>
  <c r="R26" i="220" s="1"/>
  <c r="N181" i="220"/>
  <c r="O181" i="220"/>
  <c r="R181" i="220" s="1"/>
  <c r="N168" i="220"/>
  <c r="O168" i="220"/>
  <c r="R168" i="220" s="1"/>
  <c r="N69" i="220"/>
  <c r="N68" i="220"/>
  <c r="O68" i="220"/>
  <c r="R68" i="220" s="1"/>
  <c r="O69" i="220"/>
  <c r="R69" i="220" s="1"/>
  <c r="N180" i="220"/>
  <c r="O180" i="220"/>
  <c r="R180" i="220" s="1"/>
  <c r="N167" i="220"/>
  <c r="O167" i="220"/>
  <c r="R167" i="220" s="1"/>
  <c r="O102" i="220"/>
  <c r="R102" i="220" s="1"/>
  <c r="N103" i="220"/>
  <c r="O103" i="220"/>
  <c r="R103" i="220" s="1"/>
  <c r="N102" i="220"/>
  <c r="O91" i="220"/>
  <c r="R91" i="220" s="1"/>
  <c r="O93" i="220"/>
  <c r="N94" i="220"/>
  <c r="N96" i="220"/>
  <c r="O98" i="220"/>
  <c r="R98" i="220" s="1"/>
  <c r="N99" i="220"/>
  <c r="Q99" i="220" s="1"/>
  <c r="O101" i="220"/>
  <c r="R101" i="220" s="1"/>
  <c r="O94" i="220"/>
  <c r="R94" i="220" s="1"/>
  <c r="O96" i="220"/>
  <c r="R96" i="220" s="1"/>
  <c r="O99" i="220"/>
  <c r="O97" i="220"/>
  <c r="O100" i="220"/>
  <c r="R100" i="220" s="1"/>
  <c r="N101" i="220"/>
  <c r="N92" i="220"/>
  <c r="N95" i="220"/>
  <c r="N97" i="220"/>
  <c r="Q97" i="220" s="1"/>
  <c r="N100" i="220"/>
  <c r="N91" i="220"/>
  <c r="O92" i="220"/>
  <c r="R92" i="220" s="1"/>
  <c r="N93" i="220"/>
  <c r="Q93" i="220" s="1"/>
  <c r="O95" i="220"/>
  <c r="R95" i="220" s="1"/>
  <c r="N98" i="220"/>
  <c r="N67" i="220"/>
  <c r="O67" i="220"/>
  <c r="R67" i="220" s="1"/>
  <c r="O45" i="220"/>
  <c r="R45" i="220" s="1"/>
  <c r="N46" i="220"/>
  <c r="N45" i="220"/>
  <c r="O46" i="220"/>
  <c r="R46" i="220" s="1"/>
  <c r="N47" i="220"/>
  <c r="Q47" i="220" s="1"/>
  <c r="O47" i="220"/>
  <c r="N182" i="220"/>
  <c r="O183" i="220"/>
  <c r="R183" i="220" s="1"/>
  <c r="N186" i="220"/>
  <c r="O187" i="220"/>
  <c r="R187" i="220" s="1"/>
  <c r="N190" i="220"/>
  <c r="O191" i="220"/>
  <c r="R191" i="220" s="1"/>
  <c r="N183" i="220"/>
  <c r="O184" i="220"/>
  <c r="R184" i="220" s="1"/>
  <c r="N187" i="220"/>
  <c r="O188" i="220"/>
  <c r="R188" i="220" s="1"/>
  <c r="N191" i="220"/>
  <c r="O192" i="220"/>
  <c r="R192" i="220" s="1"/>
  <c r="O182" i="220"/>
  <c r="N185" i="220"/>
  <c r="O186" i="220"/>
  <c r="R186" i="220" s="1"/>
  <c r="N189" i="220"/>
  <c r="O190" i="220"/>
  <c r="R190" i="220" s="1"/>
  <c r="N184" i="220"/>
  <c r="O185" i="220"/>
  <c r="R185" i="220" s="1"/>
  <c r="N188" i="220"/>
  <c r="O189" i="220"/>
  <c r="R189" i="220" s="1"/>
  <c r="N192" i="220"/>
  <c r="N143" i="220"/>
  <c r="O143" i="220"/>
  <c r="R143" i="220" s="1"/>
  <c r="O64" i="220"/>
  <c r="R64" i="220" s="1"/>
  <c r="O65" i="220"/>
  <c r="R65" i="220" s="1"/>
  <c r="N66" i="220"/>
  <c r="N64" i="220"/>
  <c r="N65" i="220"/>
  <c r="O66" i="220"/>
  <c r="R66" i="220" s="1"/>
  <c r="N171" i="220"/>
  <c r="N173" i="220"/>
  <c r="O174" i="220"/>
  <c r="R174" i="220" s="1"/>
  <c r="N175" i="220"/>
  <c r="O177" i="220"/>
  <c r="R177" i="220" s="1"/>
  <c r="O179" i="220"/>
  <c r="R179" i="220" s="1"/>
  <c r="O194" i="220"/>
  <c r="R194" i="220" s="1"/>
  <c r="R193" i="220" s="1"/>
  <c r="N197" i="220"/>
  <c r="O170" i="220"/>
  <c r="R170" i="220" s="1"/>
  <c r="N169" i="220"/>
  <c r="O171" i="220"/>
  <c r="R171" i="220" s="1"/>
  <c r="O173" i="220"/>
  <c r="R173" i="220" s="1"/>
  <c r="O175" i="220"/>
  <c r="R175" i="220" s="1"/>
  <c r="O197" i="220"/>
  <c r="R197" i="220" s="1"/>
  <c r="R196" i="220" s="1"/>
  <c r="I28" i="555" s="1"/>
  <c r="N170" i="220"/>
  <c r="O196" i="220"/>
  <c r="O193" i="220"/>
  <c r="N172" i="220"/>
  <c r="N178" i="220"/>
  <c r="N195" i="220"/>
  <c r="N196" i="220"/>
  <c r="N193" i="220"/>
  <c r="O172" i="220"/>
  <c r="R172" i="220" s="1"/>
  <c r="N174" i="220"/>
  <c r="N177" i="220"/>
  <c r="O178" i="220"/>
  <c r="R178" i="220" s="1"/>
  <c r="N179" i="220"/>
  <c r="N194" i="220"/>
  <c r="O195" i="220"/>
  <c r="R195" i="220" s="1"/>
  <c r="O169" i="220"/>
  <c r="N156" i="220"/>
  <c r="O151" i="220"/>
  <c r="N151" i="220"/>
  <c r="O156" i="220"/>
  <c r="O145" i="220"/>
  <c r="O141" i="220"/>
  <c r="N142" i="220"/>
  <c r="N148" i="220"/>
  <c r="O150" i="220"/>
  <c r="R150" i="220" s="1"/>
  <c r="O153" i="220"/>
  <c r="R153" i="220" s="1"/>
  <c r="N154" i="220"/>
  <c r="O157" i="220"/>
  <c r="R157" i="220" s="1"/>
  <c r="N158" i="220"/>
  <c r="O159" i="220"/>
  <c r="R159" i="220" s="1"/>
  <c r="O161" i="220"/>
  <c r="R161" i="220" s="1"/>
  <c r="N162" i="220"/>
  <c r="O164" i="220"/>
  <c r="R164" i="220" s="1"/>
  <c r="O165" i="220"/>
  <c r="R165" i="220" s="1"/>
  <c r="N166" i="220"/>
  <c r="N145" i="220"/>
  <c r="O142" i="220"/>
  <c r="R142" i="220" s="1"/>
  <c r="N146" i="220"/>
  <c r="Q146" i="220" s="1"/>
  <c r="O148" i="220"/>
  <c r="R148" i="220" s="1"/>
  <c r="N149" i="220"/>
  <c r="Q149" i="220" s="1"/>
  <c r="N152" i="220"/>
  <c r="Q152" i="220" s="1"/>
  <c r="O154" i="220"/>
  <c r="R154" i="220" s="1"/>
  <c r="O158" i="220"/>
  <c r="R158" i="220" s="1"/>
  <c r="N160" i="220"/>
  <c r="Q160" i="220" s="1"/>
  <c r="O162" i="220"/>
  <c r="R162" i="220" s="1"/>
  <c r="O166" i="220"/>
  <c r="R166" i="220" s="1"/>
  <c r="N153" i="220"/>
  <c r="N165" i="220"/>
  <c r="O146" i="220"/>
  <c r="N157" i="220"/>
  <c r="N159" i="220"/>
  <c r="O160" i="220"/>
  <c r="N141" i="220"/>
  <c r="O149" i="220"/>
  <c r="N161" i="220"/>
  <c r="N164" i="220"/>
  <c r="N150" i="220"/>
  <c r="O152" i="220"/>
  <c r="O127" i="220"/>
  <c r="O131" i="220"/>
  <c r="N127" i="220"/>
  <c r="N131" i="220"/>
  <c r="N113" i="220"/>
  <c r="O113" i="220"/>
  <c r="R113" i="220" s="1"/>
  <c r="N106" i="220"/>
  <c r="O107" i="220"/>
  <c r="R107" i="220" s="1"/>
  <c r="O110" i="220"/>
  <c r="N111" i="220"/>
  <c r="N112" i="220"/>
  <c r="O106" i="220"/>
  <c r="R106" i="220" s="1"/>
  <c r="N108" i="220"/>
  <c r="Q108" i="220" s="1"/>
  <c r="N109" i="220"/>
  <c r="O111" i="220"/>
  <c r="R111" i="220" s="1"/>
  <c r="O112" i="220"/>
  <c r="R112" i="220" s="1"/>
  <c r="O108" i="220"/>
  <c r="O109" i="220"/>
  <c r="R109" i="220" s="1"/>
  <c r="N107" i="220"/>
  <c r="N110" i="220"/>
  <c r="Q110" i="220" s="1"/>
  <c r="N83" i="220"/>
  <c r="N85" i="220"/>
  <c r="Q85" i="220" s="1"/>
  <c r="N88" i="220"/>
  <c r="N90" i="220"/>
  <c r="O83" i="220"/>
  <c r="R83" i="220" s="1"/>
  <c r="O85" i="220"/>
  <c r="O88" i="220"/>
  <c r="R88" i="220" s="1"/>
  <c r="O90" i="220"/>
  <c r="R90" i="220" s="1"/>
  <c r="N84" i="220"/>
  <c r="N86" i="220"/>
  <c r="N87" i="220"/>
  <c r="N89" i="220"/>
  <c r="Q89" i="220" s="1"/>
  <c r="O84" i="220"/>
  <c r="R84" i="220" s="1"/>
  <c r="O86" i="220"/>
  <c r="R86" i="220" s="1"/>
  <c r="O87" i="220"/>
  <c r="R87" i="220" s="1"/>
  <c r="O89" i="220"/>
  <c r="O139" i="220"/>
  <c r="R139" i="220" s="1"/>
  <c r="O137" i="220"/>
  <c r="R137" i="220" s="1"/>
  <c r="O135" i="220"/>
  <c r="R135" i="220" s="1"/>
  <c r="O133" i="220"/>
  <c r="R133" i="220" s="1"/>
  <c r="O129" i="220"/>
  <c r="R129" i="220" s="1"/>
  <c r="O126" i="220"/>
  <c r="R126" i="220" s="1"/>
  <c r="O125" i="220"/>
  <c r="R125" i="220" s="1"/>
  <c r="O123" i="220"/>
  <c r="O120" i="220"/>
  <c r="O117" i="220"/>
  <c r="R117" i="220" s="1"/>
  <c r="O105" i="220"/>
  <c r="R105" i="220" s="1"/>
  <c r="O104" i="220"/>
  <c r="O82" i="220"/>
  <c r="R82" i="220" s="1"/>
  <c r="O80" i="220"/>
  <c r="R80" i="220" s="1"/>
  <c r="O79" i="220"/>
  <c r="R79" i="220" s="1"/>
  <c r="O77" i="220"/>
  <c r="R77" i="220" s="1"/>
  <c r="O76" i="220"/>
  <c r="R76" i="220" s="1"/>
  <c r="O74" i="220"/>
  <c r="R74" i="220" s="1"/>
  <c r="O73" i="220"/>
  <c r="R73" i="220" s="1"/>
  <c r="O72" i="220"/>
  <c r="R72" i="220" s="1"/>
  <c r="O63" i="220"/>
  <c r="O61" i="220"/>
  <c r="R61" i="220" s="1"/>
  <c r="O56" i="220"/>
  <c r="R56" i="220" s="1"/>
  <c r="O54" i="220"/>
  <c r="R54" i="220" s="1"/>
  <c r="O51" i="220"/>
  <c r="R51" i="220" s="1"/>
  <c r="O49" i="220"/>
  <c r="R49" i="220" s="1"/>
  <c r="O44" i="220"/>
  <c r="R44" i="220" s="1"/>
  <c r="O42" i="220"/>
  <c r="O40" i="220"/>
  <c r="O39" i="220"/>
  <c r="R39" i="220" s="1"/>
  <c r="O30" i="220"/>
  <c r="R30" i="220" s="1"/>
  <c r="O25" i="220"/>
  <c r="R25" i="220" s="1"/>
  <c r="O23" i="220"/>
  <c r="R23" i="220" s="1"/>
  <c r="O21" i="220"/>
  <c r="R21" i="220" s="1"/>
  <c r="O17" i="220"/>
  <c r="R17" i="220" s="1"/>
  <c r="N140" i="220"/>
  <c r="N137" i="220"/>
  <c r="O134" i="220"/>
  <c r="R134" i="220" s="1"/>
  <c r="N132" i="220"/>
  <c r="O128" i="220"/>
  <c r="R128" i="220" s="1"/>
  <c r="N126" i="220"/>
  <c r="O124" i="220"/>
  <c r="R124" i="220" s="1"/>
  <c r="N120" i="220"/>
  <c r="O116" i="220"/>
  <c r="N104" i="220"/>
  <c r="N81" i="220"/>
  <c r="N74" i="220"/>
  <c r="N71" i="220"/>
  <c r="N61" i="220"/>
  <c r="O60" i="220"/>
  <c r="N58" i="220"/>
  <c r="O55" i="220"/>
  <c r="R55" i="220" s="1"/>
  <c r="N53" i="220"/>
  <c r="O50" i="220"/>
  <c r="R50" i="220" s="1"/>
  <c r="N48" i="220"/>
  <c r="N42" i="220"/>
  <c r="N38" i="220"/>
  <c r="N30" i="220"/>
  <c r="O24" i="220"/>
  <c r="R24" i="220" s="1"/>
  <c r="N22" i="220"/>
  <c r="N17" i="220"/>
  <c r="N139" i="220"/>
  <c r="O136" i="220"/>
  <c r="R136" i="220" s="1"/>
  <c r="N134" i="220"/>
  <c r="N128" i="220"/>
  <c r="N124" i="220"/>
  <c r="O118" i="220"/>
  <c r="R118" i="220" s="1"/>
  <c r="N116" i="220"/>
  <c r="N105" i="220"/>
  <c r="N80" i="220"/>
  <c r="N79" i="220"/>
  <c r="N76" i="220"/>
  <c r="N63" i="220"/>
  <c r="N60" i="220"/>
  <c r="N56" i="220"/>
  <c r="N55" i="220"/>
  <c r="N50" i="220"/>
  <c r="N44" i="220"/>
  <c r="O41" i="220"/>
  <c r="O29" i="220"/>
  <c r="R29" i="220" s="1"/>
  <c r="N24" i="220"/>
  <c r="N21" i="220"/>
  <c r="O138" i="220"/>
  <c r="R138" i="220" s="1"/>
  <c r="N136" i="220"/>
  <c r="N133" i="220"/>
  <c r="N123" i="220"/>
  <c r="O122" i="220"/>
  <c r="R122" i="220" s="1"/>
  <c r="N118" i="220"/>
  <c r="N82" i="220"/>
  <c r="O78" i="220"/>
  <c r="R78" i="220" s="1"/>
  <c r="O75" i="220"/>
  <c r="R75" i="220" s="1"/>
  <c r="N72" i="220"/>
  <c r="N135" i="220"/>
  <c r="N122" i="220"/>
  <c r="N77" i="220"/>
  <c r="O71" i="220"/>
  <c r="O58" i="220"/>
  <c r="R58" i="220" s="1"/>
  <c r="O48" i="220"/>
  <c r="R48" i="220" s="1"/>
  <c r="N40" i="220"/>
  <c r="O22" i="220"/>
  <c r="R22" i="220" s="1"/>
  <c r="O132" i="220"/>
  <c r="R132" i="220" s="1"/>
  <c r="N117" i="220"/>
  <c r="O81" i="220"/>
  <c r="N54" i="220"/>
  <c r="O43" i="220"/>
  <c r="R43" i="220" s="1"/>
  <c r="N39" i="220"/>
  <c r="N29" i="220"/>
  <c r="O18" i="220"/>
  <c r="R18" i="220" s="1"/>
  <c r="O140" i="220"/>
  <c r="R140" i="220" s="1"/>
  <c r="N125" i="220"/>
  <c r="N75" i="220"/>
  <c r="O53" i="220"/>
  <c r="N51" i="220"/>
  <c r="N43" i="220"/>
  <c r="O38" i="220"/>
  <c r="N25" i="220"/>
  <c r="N18" i="220"/>
  <c r="N138" i="220"/>
  <c r="N129" i="220"/>
  <c r="N78" i="220"/>
  <c r="N73" i="220"/>
  <c r="N49" i="220"/>
  <c r="N41" i="220"/>
  <c r="N23" i="220"/>
  <c r="O28" i="220"/>
  <c r="N28" i="220"/>
  <c r="AH10" i="561"/>
  <c r="O16" i="220"/>
  <c r="R16" i="220" s="1"/>
  <c r="N16" i="220"/>
  <c r="O19" i="220"/>
  <c r="N19" i="220"/>
  <c r="F32" i="555"/>
  <c r="E32" i="555"/>
  <c r="AH9" i="561"/>
  <c r="Q147" i="220" l="1"/>
  <c r="P147" i="220"/>
  <c r="S147" i="220"/>
  <c r="P114" i="220"/>
  <c r="Q114" i="220"/>
  <c r="S114" i="220" s="1"/>
  <c r="Q57" i="220"/>
  <c r="S57" i="220" s="1"/>
  <c r="P57" i="220"/>
  <c r="P176" i="220"/>
  <c r="Q176" i="220"/>
  <c r="S176" i="220" s="1"/>
  <c r="P163" i="220"/>
  <c r="Q163" i="220"/>
  <c r="S163" i="220" s="1"/>
  <c r="P36" i="220"/>
  <c r="Q36" i="220"/>
  <c r="S36" i="220" s="1"/>
  <c r="P35" i="220"/>
  <c r="Q35" i="220"/>
  <c r="S35" i="220" s="1"/>
  <c r="P32" i="220"/>
  <c r="Q32" i="220"/>
  <c r="S32" i="220" s="1"/>
  <c r="Q34" i="220"/>
  <c r="S34" i="220" s="1"/>
  <c r="P34" i="220"/>
  <c r="R28" i="220"/>
  <c r="I18" i="555" s="1"/>
  <c r="Q33" i="220"/>
  <c r="S33" i="220" s="1"/>
  <c r="P33" i="220"/>
  <c r="Q31" i="220"/>
  <c r="S31" i="220" s="1"/>
  <c r="P31" i="220"/>
  <c r="R20" i="220"/>
  <c r="I17" i="555" s="1"/>
  <c r="Q26" i="220"/>
  <c r="S26" i="220" s="1"/>
  <c r="P26" i="220"/>
  <c r="R169" i="220"/>
  <c r="P181" i="220"/>
  <c r="Q181" i="220"/>
  <c r="S181" i="220" s="1"/>
  <c r="Q168" i="220"/>
  <c r="S168" i="220" s="1"/>
  <c r="P168" i="220"/>
  <c r="P68" i="220"/>
  <c r="Q68" i="220"/>
  <c r="S68" i="220" s="1"/>
  <c r="P69" i="220"/>
  <c r="Q69" i="220"/>
  <c r="S69" i="220" s="1"/>
  <c r="R63" i="220"/>
  <c r="I22" i="555" s="1"/>
  <c r="R141" i="220"/>
  <c r="Q180" i="220"/>
  <c r="S180" i="220" s="1"/>
  <c r="P180" i="220"/>
  <c r="P167" i="220"/>
  <c r="Q167" i="220"/>
  <c r="S167" i="220" s="1"/>
  <c r="Q103" i="220"/>
  <c r="S103" i="220" s="1"/>
  <c r="P103" i="220"/>
  <c r="P102" i="220"/>
  <c r="Q102" i="220"/>
  <c r="S102" i="220" s="1"/>
  <c r="P101" i="220"/>
  <c r="Q101" i="220"/>
  <c r="S101" i="220" s="1"/>
  <c r="P98" i="220"/>
  <c r="Q98" i="220"/>
  <c r="S98" i="220" s="1"/>
  <c r="Q91" i="220"/>
  <c r="S91" i="220" s="1"/>
  <c r="P91" i="220"/>
  <c r="Q94" i="220"/>
  <c r="S94" i="220" s="1"/>
  <c r="P94" i="220"/>
  <c r="P99" i="220"/>
  <c r="R99" i="220"/>
  <c r="S99" i="220" s="1"/>
  <c r="Q95" i="220"/>
  <c r="S95" i="220" s="1"/>
  <c r="P95" i="220"/>
  <c r="P97" i="220"/>
  <c r="R97" i="220"/>
  <c r="S97" i="220" s="1"/>
  <c r="P93" i="220"/>
  <c r="R93" i="220"/>
  <c r="S93" i="220" s="1"/>
  <c r="P96" i="220"/>
  <c r="Q96" i="220"/>
  <c r="S96" i="220" s="1"/>
  <c r="P100" i="220"/>
  <c r="Q100" i="220"/>
  <c r="S100" i="220" s="1"/>
  <c r="P92" i="220"/>
  <c r="Q92" i="220"/>
  <c r="S92" i="220" s="1"/>
  <c r="P67" i="220"/>
  <c r="Q67" i="220"/>
  <c r="S67" i="220" s="1"/>
  <c r="Q45" i="220"/>
  <c r="S45" i="220" s="1"/>
  <c r="P45" i="220"/>
  <c r="P47" i="220"/>
  <c r="R47" i="220"/>
  <c r="S47" i="220" s="1"/>
  <c r="P46" i="220"/>
  <c r="Q46" i="220"/>
  <c r="S46" i="220" s="1"/>
  <c r="P182" i="220"/>
  <c r="P191" i="220"/>
  <c r="Q191" i="220"/>
  <c r="S191" i="220" s="1"/>
  <c r="P183" i="220"/>
  <c r="Q183" i="220"/>
  <c r="P188" i="220"/>
  <c r="Q188" i="220"/>
  <c r="S188" i="220" s="1"/>
  <c r="Q185" i="220"/>
  <c r="S185" i="220" s="1"/>
  <c r="P185" i="220"/>
  <c r="Q186" i="220"/>
  <c r="S186" i="220" s="1"/>
  <c r="P186" i="220"/>
  <c r="P187" i="220"/>
  <c r="Q187" i="220"/>
  <c r="S187" i="220" s="1"/>
  <c r="R182" i="220"/>
  <c r="P192" i="220"/>
  <c r="Q192" i="220"/>
  <c r="S192" i="220" s="1"/>
  <c r="P184" i="220"/>
  <c r="Q184" i="220"/>
  <c r="S184" i="220" s="1"/>
  <c r="Q189" i="220"/>
  <c r="S189" i="220" s="1"/>
  <c r="P189" i="220"/>
  <c r="Q190" i="220"/>
  <c r="S190" i="220" s="1"/>
  <c r="P190" i="220"/>
  <c r="P143" i="220"/>
  <c r="Q143" i="220"/>
  <c r="S143" i="220" s="1"/>
  <c r="P196" i="220"/>
  <c r="P65" i="220"/>
  <c r="Q65" i="220"/>
  <c r="S65" i="220" s="1"/>
  <c r="P66" i="220"/>
  <c r="Q66" i="220"/>
  <c r="S66" i="220" s="1"/>
  <c r="P64" i="220"/>
  <c r="Q64" i="220"/>
  <c r="S64" i="220" s="1"/>
  <c r="P145" i="220"/>
  <c r="P193" i="220"/>
  <c r="P172" i="220"/>
  <c r="Q172" i="220"/>
  <c r="S172" i="220" s="1"/>
  <c r="Q197" i="220"/>
  <c r="P197" i="220"/>
  <c r="P141" i="220"/>
  <c r="P179" i="220"/>
  <c r="Q179" i="220"/>
  <c r="S179" i="220" s="1"/>
  <c r="P174" i="220"/>
  <c r="Q174" i="220"/>
  <c r="S174" i="220" s="1"/>
  <c r="P195" i="220"/>
  <c r="Q195" i="220"/>
  <c r="S195" i="220" s="1"/>
  <c r="Q173" i="220"/>
  <c r="S173" i="220" s="1"/>
  <c r="P173" i="220"/>
  <c r="P194" i="220"/>
  <c r="Q194" i="220"/>
  <c r="P170" i="220"/>
  <c r="Q170" i="220"/>
  <c r="P178" i="220"/>
  <c r="Q178" i="220"/>
  <c r="S178" i="220" s="1"/>
  <c r="P169" i="220"/>
  <c r="P171" i="220"/>
  <c r="Q171" i="220"/>
  <c r="S171" i="220" s="1"/>
  <c r="P151" i="220"/>
  <c r="Q177" i="220"/>
  <c r="S177" i="220" s="1"/>
  <c r="P177" i="220"/>
  <c r="P175" i="220"/>
  <c r="Q175" i="220"/>
  <c r="S175" i="220" s="1"/>
  <c r="P156" i="220"/>
  <c r="R121" i="220"/>
  <c r="R127" i="220"/>
  <c r="Q166" i="220"/>
  <c r="S166" i="220" s="1"/>
  <c r="P166" i="220"/>
  <c r="P161" i="220"/>
  <c r="Q161" i="220"/>
  <c r="S161" i="220" s="1"/>
  <c r="P157" i="220"/>
  <c r="Q157" i="220"/>
  <c r="P154" i="220"/>
  <c r="Q154" i="220"/>
  <c r="S154" i="220" s="1"/>
  <c r="P142" i="220"/>
  <c r="Q142" i="220"/>
  <c r="R123" i="220"/>
  <c r="P152" i="220"/>
  <c r="R152" i="220"/>
  <c r="R151" i="220" s="1"/>
  <c r="P149" i="220"/>
  <c r="R149" i="220"/>
  <c r="S149" i="220" s="1"/>
  <c r="P146" i="220"/>
  <c r="R146" i="220"/>
  <c r="P158" i="220"/>
  <c r="Q158" i="220"/>
  <c r="S158" i="220" s="1"/>
  <c r="P159" i="220"/>
  <c r="Q159" i="220"/>
  <c r="S159" i="220" s="1"/>
  <c r="P165" i="220"/>
  <c r="Q165" i="220"/>
  <c r="S165" i="220" s="1"/>
  <c r="P150" i="220"/>
  <c r="Q150" i="220"/>
  <c r="S150" i="220" s="1"/>
  <c r="P164" i="220"/>
  <c r="Q164" i="220"/>
  <c r="S164" i="220" s="1"/>
  <c r="P160" i="220"/>
  <c r="R160" i="220"/>
  <c r="S160" i="220" s="1"/>
  <c r="P153" i="220"/>
  <c r="Q153" i="220"/>
  <c r="S153" i="220" s="1"/>
  <c r="Q162" i="220"/>
  <c r="S162" i="220" s="1"/>
  <c r="P162" i="220"/>
  <c r="P148" i="220"/>
  <c r="Q148" i="220"/>
  <c r="S148" i="220" s="1"/>
  <c r="P131" i="220"/>
  <c r="R131" i="220"/>
  <c r="P127" i="220"/>
  <c r="R116" i="220"/>
  <c r="I26" i="555" s="1"/>
  <c r="P113" i="220"/>
  <c r="Q113" i="220"/>
  <c r="S113" i="220" s="1"/>
  <c r="P111" i="220"/>
  <c r="Q111" i="220"/>
  <c r="S111" i="220" s="1"/>
  <c r="P107" i="220"/>
  <c r="Q107" i="220"/>
  <c r="S107" i="220" s="1"/>
  <c r="P108" i="220"/>
  <c r="R108" i="220"/>
  <c r="S108" i="220" s="1"/>
  <c r="P110" i="220"/>
  <c r="R110" i="220"/>
  <c r="S110" i="220" s="1"/>
  <c r="P109" i="220"/>
  <c r="Q109" i="220"/>
  <c r="S109" i="220" s="1"/>
  <c r="P112" i="220"/>
  <c r="Q112" i="220"/>
  <c r="S112" i="220" s="1"/>
  <c r="P106" i="220"/>
  <c r="Q106" i="220"/>
  <c r="S106" i="220" s="1"/>
  <c r="P89" i="220"/>
  <c r="R89" i="220"/>
  <c r="S89" i="220" s="1"/>
  <c r="P87" i="220"/>
  <c r="Q87" i="220"/>
  <c r="S87" i="220" s="1"/>
  <c r="P85" i="220"/>
  <c r="R85" i="220"/>
  <c r="Q90" i="220"/>
  <c r="S90" i="220" s="1"/>
  <c r="P90" i="220"/>
  <c r="Q86" i="220"/>
  <c r="S86" i="220" s="1"/>
  <c r="P86" i="220"/>
  <c r="P88" i="220"/>
  <c r="Q88" i="220"/>
  <c r="S88" i="220" s="1"/>
  <c r="P84" i="220"/>
  <c r="Q84" i="220"/>
  <c r="S84" i="220" s="1"/>
  <c r="P83" i="220"/>
  <c r="Q83" i="220"/>
  <c r="S83" i="220" s="1"/>
  <c r="R71" i="220"/>
  <c r="I23" i="555" s="1"/>
  <c r="R60" i="220"/>
  <c r="I21" i="555" s="1"/>
  <c r="R53" i="220"/>
  <c r="R38" i="220"/>
  <c r="I19" i="555" s="1"/>
  <c r="R15" i="220"/>
  <c r="Q138" i="220"/>
  <c r="S138" i="220" s="1"/>
  <c r="P138" i="220"/>
  <c r="Q139" i="220"/>
  <c r="S139" i="220" s="1"/>
  <c r="P139" i="220"/>
  <c r="Q137" i="220"/>
  <c r="S137" i="220" s="1"/>
  <c r="P137" i="220"/>
  <c r="P140" i="220"/>
  <c r="Q140" i="220"/>
  <c r="S140" i="220" s="1"/>
  <c r="P123" i="220"/>
  <c r="Q122" i="220"/>
  <c r="P122" i="220"/>
  <c r="P125" i="220"/>
  <c r="Q125" i="220"/>
  <c r="S125" i="220" s="1"/>
  <c r="Q126" i="220"/>
  <c r="S126" i="220" s="1"/>
  <c r="P126" i="220"/>
  <c r="Q124" i="220"/>
  <c r="P124" i="220"/>
  <c r="P133" i="220"/>
  <c r="Q133" i="220"/>
  <c r="S133" i="220" s="1"/>
  <c r="Q128" i="220"/>
  <c r="S128" i="220" s="1"/>
  <c r="P128" i="220"/>
  <c r="Q129" i="220"/>
  <c r="S129" i="220" s="1"/>
  <c r="P129" i="220"/>
  <c r="Q132" i="220"/>
  <c r="S132" i="220" s="1"/>
  <c r="P132" i="220"/>
  <c r="P134" i="220"/>
  <c r="Q134" i="220"/>
  <c r="S134" i="220" s="1"/>
  <c r="Q135" i="220"/>
  <c r="S135" i="220" s="1"/>
  <c r="P135" i="220"/>
  <c r="Q136" i="220"/>
  <c r="S136" i="220" s="1"/>
  <c r="P136" i="220"/>
  <c r="P117" i="220"/>
  <c r="Q117" i="220"/>
  <c r="Q78" i="220"/>
  <c r="S78" i="220" s="1"/>
  <c r="P78" i="220"/>
  <c r="Q79" i="220"/>
  <c r="S79" i="220" s="1"/>
  <c r="P79" i="220"/>
  <c r="Q77" i="220"/>
  <c r="S77" i="220" s="1"/>
  <c r="P77" i="220"/>
  <c r="P80" i="220"/>
  <c r="Q80" i="220"/>
  <c r="S80" i="220" s="1"/>
  <c r="P71" i="220"/>
  <c r="P63" i="220"/>
  <c r="Q58" i="220"/>
  <c r="S58" i="220" s="1"/>
  <c r="P58" i="220"/>
  <c r="P56" i="220"/>
  <c r="Q56" i="220"/>
  <c r="S56" i="220" s="1"/>
  <c r="Q51" i="220"/>
  <c r="S51" i="220" s="1"/>
  <c r="P51" i="220"/>
  <c r="P75" i="220"/>
  <c r="Q75" i="220"/>
  <c r="S75" i="220" s="1"/>
  <c r="Q74" i="220"/>
  <c r="S74" i="220" s="1"/>
  <c r="P74" i="220"/>
  <c r="Q76" i="220"/>
  <c r="S76" i="220" s="1"/>
  <c r="P76" i="220"/>
  <c r="P73" i="220"/>
  <c r="Q73" i="220"/>
  <c r="S73" i="220" s="1"/>
  <c r="P61" i="220"/>
  <c r="Q61" i="220"/>
  <c r="S61" i="220" s="1"/>
  <c r="P72" i="220"/>
  <c r="Q72" i="220"/>
  <c r="Q55" i="220"/>
  <c r="S55" i="220" s="1"/>
  <c r="P55" i="220"/>
  <c r="Q48" i="220"/>
  <c r="S48" i="220" s="1"/>
  <c r="P48" i="220"/>
  <c r="Q49" i="220"/>
  <c r="S49" i="220" s="1"/>
  <c r="P49" i="220"/>
  <c r="Q44" i="220"/>
  <c r="S44" i="220" s="1"/>
  <c r="P44" i="220"/>
  <c r="P24" i="220"/>
  <c r="Q24" i="220"/>
  <c r="S24" i="220" s="1"/>
  <c r="Q18" i="220"/>
  <c r="S18" i="220" s="1"/>
  <c r="P18" i="220"/>
  <c r="P120" i="220"/>
  <c r="Q118" i="220"/>
  <c r="S118" i="220" s="1"/>
  <c r="P118" i="220"/>
  <c r="Q105" i="220"/>
  <c r="P105" i="220"/>
  <c r="P116" i="220"/>
  <c r="Q25" i="220"/>
  <c r="S25" i="220" s="1"/>
  <c r="P25" i="220"/>
  <c r="Q16" i="220"/>
  <c r="P16" i="220"/>
  <c r="Q21" i="220"/>
  <c r="P21" i="220"/>
  <c r="Q39" i="220"/>
  <c r="P39" i="220"/>
  <c r="Q29" i="220"/>
  <c r="P29" i="220"/>
  <c r="Q54" i="220"/>
  <c r="P54" i="220"/>
  <c r="P81" i="220"/>
  <c r="Q50" i="220"/>
  <c r="S50" i="220" s="1"/>
  <c r="P50" i="220"/>
  <c r="P60" i="220"/>
  <c r="Q23" i="220"/>
  <c r="S23" i="220" s="1"/>
  <c r="P23" i="220"/>
  <c r="Q30" i="220"/>
  <c r="S30" i="220" s="1"/>
  <c r="P30" i="220"/>
  <c r="P53" i="220"/>
  <c r="Q22" i="220"/>
  <c r="S22" i="220" s="1"/>
  <c r="P22" i="220"/>
  <c r="Q43" i="220"/>
  <c r="P43" i="220"/>
  <c r="Q17" i="220"/>
  <c r="S17" i="220" s="1"/>
  <c r="P17" i="220"/>
  <c r="Q82" i="220"/>
  <c r="P82" i="220"/>
  <c r="G32" i="555"/>
  <c r="Q104" i="220" l="1"/>
  <c r="H25" i="555" s="1"/>
  <c r="R104" i="220"/>
  <c r="I25" i="555" s="1"/>
  <c r="Q28" i="220"/>
  <c r="H18" i="555" s="1"/>
  <c r="Q20" i="220"/>
  <c r="H17" i="555" s="1"/>
  <c r="Q169" i="220"/>
  <c r="Q156" i="220"/>
  <c r="R156" i="220"/>
  <c r="S63" i="220"/>
  <c r="Q63" i="220"/>
  <c r="H22" i="555" s="1"/>
  <c r="R81" i="220"/>
  <c r="I24" i="555" s="1"/>
  <c r="Q81" i="220"/>
  <c r="H24" i="555" s="1"/>
  <c r="S85" i="220"/>
  <c r="R42" i="220"/>
  <c r="R41" i="220" s="1"/>
  <c r="I20" i="555" s="1"/>
  <c r="S183" i="220"/>
  <c r="Q182" i="220"/>
  <c r="S142" i="220"/>
  <c r="S141" i="220" s="1"/>
  <c r="Q141" i="220"/>
  <c r="I16" i="555"/>
  <c r="Q193" i="220"/>
  <c r="S194" i="220"/>
  <c r="S193" i="220" s="1"/>
  <c r="S170" i="220"/>
  <c r="S169" i="220" s="1"/>
  <c r="Q196" i="220"/>
  <c r="H28" i="555" s="1"/>
  <c r="S197" i="220"/>
  <c r="S196" i="220" s="1"/>
  <c r="J28" i="555" s="1"/>
  <c r="D52" i="561" s="1"/>
  <c r="Q145" i="220"/>
  <c r="R145" i="220"/>
  <c r="Q151" i="220"/>
  <c r="S157" i="220"/>
  <c r="S156" i="220" s="1"/>
  <c r="S152" i="220"/>
  <c r="S151" i="220" s="1"/>
  <c r="S146" i="220"/>
  <c r="S145" i="220" s="1"/>
  <c r="S122" i="220"/>
  <c r="S121" i="220" s="1"/>
  <c r="Q121" i="220"/>
  <c r="Q131" i="220"/>
  <c r="S124" i="220"/>
  <c r="S123" i="220" s="1"/>
  <c r="Q123" i="220"/>
  <c r="S131" i="220"/>
  <c r="S127" i="220"/>
  <c r="Q127" i="220"/>
  <c r="S117" i="220"/>
  <c r="S116" i="220" s="1"/>
  <c r="J26" i="555" s="1"/>
  <c r="D46" i="561" s="1"/>
  <c r="Q116" i="220"/>
  <c r="H26" i="555" s="1"/>
  <c r="S82" i="220"/>
  <c r="S72" i="220"/>
  <c r="S71" i="220" s="1"/>
  <c r="J23" i="555" s="1"/>
  <c r="D37" i="561" s="1"/>
  <c r="Q71" i="220"/>
  <c r="H23" i="555" s="1"/>
  <c r="S60" i="220"/>
  <c r="J21" i="555" s="1"/>
  <c r="D31" i="561" s="1"/>
  <c r="Q60" i="220"/>
  <c r="H21" i="555" s="1"/>
  <c r="S54" i="220"/>
  <c r="S53" i="220" s="1"/>
  <c r="Q53" i="220"/>
  <c r="S43" i="220"/>
  <c r="S42" i="220" s="1"/>
  <c r="Q42" i="220"/>
  <c r="Q38" i="220"/>
  <c r="H19" i="555" s="1"/>
  <c r="Q15" i="220"/>
  <c r="S29" i="220"/>
  <c r="S21" i="220"/>
  <c r="S39" i="220"/>
  <c r="S16" i="220"/>
  <c r="S15" i="220" s="1"/>
  <c r="S105" i="220"/>
  <c r="S104" i="220" l="1"/>
  <c r="J25" i="555" s="1"/>
  <c r="D43" i="561" s="1"/>
  <c r="S28" i="220"/>
  <c r="J18" i="555" s="1"/>
  <c r="D22" i="561" s="1"/>
  <c r="S20" i="220"/>
  <c r="J17" i="555" s="1"/>
  <c r="D19" i="561" s="1"/>
  <c r="R120" i="220"/>
  <c r="I27" i="555" s="1"/>
  <c r="I32" i="555" s="1"/>
  <c r="Q120" i="220"/>
  <c r="H27" i="555" s="1"/>
  <c r="S81" i="220"/>
  <c r="J24" i="555" s="1"/>
  <c r="D40" i="561" s="1"/>
  <c r="J22" i="555"/>
  <c r="D34" i="561" s="1"/>
  <c r="S182" i="220"/>
  <c r="Y46" i="561"/>
  <c r="AC46" i="561"/>
  <c r="M46" i="561"/>
  <c r="Q46" i="561"/>
  <c r="I46" i="561"/>
  <c r="AG46" i="561"/>
  <c r="E46" i="561"/>
  <c r="U46" i="561"/>
  <c r="Y37" i="561"/>
  <c r="I37" i="561"/>
  <c r="AC37" i="561"/>
  <c r="U37" i="561"/>
  <c r="E37" i="561"/>
  <c r="AG37" i="561"/>
  <c r="Q37" i="561"/>
  <c r="M37" i="561"/>
  <c r="Y52" i="561"/>
  <c r="I52" i="561"/>
  <c r="U52" i="561"/>
  <c r="E52" i="561"/>
  <c r="M52" i="561"/>
  <c r="AG52" i="561"/>
  <c r="Q52" i="561"/>
  <c r="AC52" i="561"/>
  <c r="H16" i="555"/>
  <c r="J16" i="555"/>
  <c r="D16" i="561" s="1"/>
  <c r="Q41" i="220"/>
  <c r="H20" i="555" s="1"/>
  <c r="S41" i="220"/>
  <c r="J20" i="555" s="1"/>
  <c r="D28" i="561" s="1"/>
  <c r="S38" i="220"/>
  <c r="J19" i="555" s="1"/>
  <c r="D25" i="561" s="1"/>
  <c r="Q43" i="561" l="1"/>
  <c r="E43" i="561"/>
  <c r="Y43" i="561"/>
  <c r="U43" i="561"/>
  <c r="AG43" i="561"/>
  <c r="AC43" i="561"/>
  <c r="I43" i="561"/>
  <c r="M43" i="561"/>
  <c r="S120" i="220"/>
  <c r="J27" i="555" s="1"/>
  <c r="D49" i="561" s="1"/>
  <c r="J15" i="548"/>
  <c r="J16" i="548" s="1"/>
  <c r="J17" i="548" s="1"/>
  <c r="J18" i="548" s="1"/>
  <c r="J19" i="548" s="1"/>
  <c r="J20" i="548" s="1"/>
  <c r="J21" i="548" s="1"/>
  <c r="J23" i="548" s="1"/>
  <c r="J24" i="548" s="1"/>
  <c r="J26" i="548" s="1"/>
  <c r="J27" i="548" s="1"/>
  <c r="J28" i="548" s="1"/>
  <c r="J22" i="548" s="1"/>
  <c r="J29" i="548" s="1"/>
  <c r="J25" i="548" s="1"/>
  <c r="J30" i="548" s="1"/>
  <c r="J31" i="548" s="1"/>
  <c r="J32" i="548" s="1"/>
  <c r="J33" i="548" s="1"/>
  <c r="J34" i="548" s="1"/>
  <c r="J35" i="548" s="1"/>
  <c r="J36" i="548" s="1"/>
  <c r="J37" i="548" s="1"/>
  <c r="J38" i="548" s="1"/>
  <c r="J39" i="548" s="1"/>
  <c r="J40" i="548" s="1"/>
  <c r="J41" i="548" s="1"/>
  <c r="J42" i="548" s="1"/>
  <c r="J43" i="548" s="1"/>
  <c r="J44" i="548" s="1"/>
  <c r="J45" i="548" s="1"/>
  <c r="J46" i="548" s="1"/>
  <c r="J47" i="548" s="1"/>
  <c r="J48" i="548" s="1"/>
  <c r="J49" i="548" s="1"/>
  <c r="J50" i="548" s="1"/>
  <c r="J51" i="548" s="1"/>
  <c r="J53" i="548" s="1"/>
  <c r="J54" i="548" s="1"/>
  <c r="J55" i="548" s="1"/>
  <c r="J56" i="548" s="1"/>
  <c r="J57" i="548" s="1"/>
  <c r="J58" i="548" s="1"/>
  <c r="J59" i="548" s="1"/>
  <c r="J60" i="548" s="1"/>
  <c r="J61" i="548" s="1"/>
  <c r="J52" i="548" s="1"/>
  <c r="J63" i="548" s="1"/>
  <c r="J64" i="548" s="1"/>
  <c r="J62" i="548" s="1"/>
  <c r="J65" i="548" s="1"/>
  <c r="J66" i="548" s="1"/>
  <c r="J67" i="548" s="1"/>
  <c r="J68" i="548" s="1"/>
  <c r="J69" i="548" s="1"/>
  <c r="J70" i="548" s="1"/>
  <c r="J71" i="548" s="1"/>
  <c r="J72" i="548" s="1"/>
  <c r="J73" i="548" s="1"/>
  <c r="J74" i="548" s="1"/>
  <c r="J75" i="548" s="1"/>
  <c r="J76" i="548" s="1"/>
  <c r="J77" i="548" s="1"/>
  <c r="J78" i="548" s="1"/>
  <c r="J79" i="548" s="1"/>
  <c r="J80" i="548" s="1"/>
  <c r="J81" i="548" s="1"/>
  <c r="J82" i="548" s="1"/>
  <c r="J83" i="548" s="1"/>
  <c r="J84" i="548" s="1"/>
  <c r="J85" i="548" s="1"/>
  <c r="J86" i="548" s="1"/>
  <c r="J87" i="548" s="1"/>
  <c r="J88" i="548" s="1"/>
  <c r="J89" i="548" s="1"/>
  <c r="J90" i="548" s="1"/>
  <c r="J91" i="548" s="1"/>
  <c r="J92" i="548" s="1"/>
  <c r="J93" i="548" s="1"/>
  <c r="J94" i="548" s="1"/>
  <c r="J95" i="548" s="1"/>
  <c r="J96" i="548" s="1"/>
  <c r="J97" i="548" s="1"/>
  <c r="J98" i="548" s="1"/>
  <c r="J99" i="548" s="1"/>
  <c r="J100" i="548" s="1"/>
  <c r="J101" i="548" s="1"/>
  <c r="J102" i="548" s="1"/>
  <c r="J103" i="548" s="1"/>
  <c r="J104" i="548" s="1"/>
  <c r="J105" i="548" s="1"/>
  <c r="J106" i="548" s="1"/>
  <c r="J107" i="548" s="1"/>
  <c r="J108" i="548" s="1"/>
  <c r="J109" i="548" s="1"/>
  <c r="J110" i="548" s="1"/>
  <c r="J111" i="548" s="1"/>
  <c r="J112" i="548" s="1"/>
  <c r="J113" i="548" s="1"/>
  <c r="J114" i="548" s="1"/>
  <c r="J115" i="548" s="1"/>
  <c r="J116" i="548" s="1"/>
  <c r="J117" i="548" s="1"/>
  <c r="J118" i="548" s="1"/>
  <c r="J119" i="548" s="1"/>
  <c r="J120" i="548" s="1"/>
  <c r="J121" i="548" s="1"/>
  <c r="J122" i="548" s="1"/>
  <c r="J123" i="548" s="1"/>
  <c r="J124" i="548" s="1"/>
  <c r="J125" i="548" s="1"/>
  <c r="J126" i="548" s="1"/>
  <c r="J127" i="548" s="1"/>
  <c r="J128" i="548" s="1"/>
  <c r="J129" i="548" s="1"/>
  <c r="J130" i="548" s="1"/>
  <c r="J131" i="548" s="1"/>
  <c r="J132" i="548" s="1"/>
  <c r="J133" i="548" s="1"/>
  <c r="J134" i="548" s="1"/>
  <c r="J135" i="548" s="1"/>
  <c r="J136" i="548" s="1"/>
  <c r="J137" i="548" s="1"/>
  <c r="J138" i="548" s="1"/>
  <c r="J139" i="548" s="1"/>
  <c r="J140" i="548" s="1"/>
  <c r="J141" i="548" s="1"/>
  <c r="J142" i="548" s="1"/>
  <c r="J143" i="548" s="1"/>
  <c r="J144" i="548" s="1"/>
  <c r="J145" i="548" s="1"/>
  <c r="J146" i="548" s="1"/>
  <c r="J147" i="548" s="1"/>
  <c r="J148" i="548" s="1"/>
  <c r="J149" i="548" s="1"/>
  <c r="J150" i="548" s="1"/>
  <c r="J151" i="548" s="1"/>
  <c r="J152" i="548" s="1"/>
  <c r="J153" i="548" s="1"/>
  <c r="J154" i="548" s="1"/>
  <c r="J155" i="548" s="1"/>
  <c r="E40" i="561"/>
  <c r="Y40" i="561"/>
  <c r="Q40" i="561"/>
  <c r="AG40" i="561"/>
  <c r="M40" i="561"/>
  <c r="I40" i="561"/>
  <c r="AC40" i="561"/>
  <c r="U40" i="561"/>
  <c r="Y34" i="561"/>
  <c r="AC34" i="561"/>
  <c r="E34" i="561"/>
  <c r="I34" i="561"/>
  <c r="AG34" i="561"/>
  <c r="U34" i="561"/>
  <c r="Q34" i="561"/>
  <c r="M34" i="561"/>
  <c r="R201" i="220"/>
  <c r="R202" i="682" s="1"/>
  <c r="R203" i="682" s="1"/>
  <c r="Q201" i="220"/>
  <c r="Q202" i="682" s="1"/>
  <c r="Q203" i="682" s="1"/>
  <c r="H32" i="555"/>
  <c r="AG16" i="561"/>
  <c r="U31" i="561"/>
  <c r="Q31" i="561"/>
  <c r="U28" i="561"/>
  <c r="Q28" i="561"/>
  <c r="M31" i="561"/>
  <c r="I31" i="561"/>
  <c r="E31" i="561"/>
  <c r="I28" i="561"/>
  <c r="E28" i="561"/>
  <c r="M28" i="561"/>
  <c r="Q25" i="561"/>
  <c r="M25" i="561"/>
  <c r="I25" i="561"/>
  <c r="E25" i="561"/>
  <c r="I22" i="561"/>
  <c r="E22" i="561"/>
  <c r="Q22" i="561"/>
  <c r="M22" i="561"/>
  <c r="S201" i="220" l="1"/>
  <c r="AG49" i="561"/>
  <c r="Y49" i="561"/>
  <c r="E49" i="561"/>
  <c r="U49" i="561"/>
  <c r="M49" i="561"/>
  <c r="I49" i="561"/>
  <c r="D55" i="561"/>
  <c r="AC49" i="561"/>
  <c r="Q49" i="561"/>
  <c r="J32" i="555"/>
  <c r="Y22" i="561"/>
  <c r="U22" i="561"/>
  <c r="AG22" i="561"/>
  <c r="AC22" i="561"/>
  <c r="AC25" i="561"/>
  <c r="Y25" i="561"/>
  <c r="U25" i="561"/>
  <c r="AG25" i="561"/>
  <c r="AC19" i="561"/>
  <c r="Y19" i="561"/>
  <c r="AG19" i="561"/>
  <c r="T52" i="220" l="1"/>
  <c r="T147" i="220"/>
  <c r="T57" i="220"/>
  <c r="T114" i="220"/>
  <c r="T163" i="220"/>
  <c r="T176" i="220"/>
  <c r="T35" i="220"/>
  <c r="T33" i="220"/>
  <c r="T36" i="220"/>
  <c r="T32" i="220"/>
  <c r="T34" i="220"/>
  <c r="T31" i="220"/>
  <c r="T30" i="220"/>
  <c r="T48" i="220"/>
  <c r="T182" i="220"/>
  <c r="T142" i="220"/>
  <c r="T23" i="220"/>
  <c r="T82" i="220"/>
  <c r="T55" i="220"/>
  <c r="T117" i="220"/>
  <c r="T84" i="220"/>
  <c r="T150" i="220"/>
  <c r="T195" i="220"/>
  <c r="T186" i="220"/>
  <c r="T95" i="220"/>
  <c r="T149" i="220"/>
  <c r="T25" i="220"/>
  <c r="T110" i="220"/>
  <c r="T157" i="220"/>
  <c r="T172" i="220"/>
  <c r="T188" i="220"/>
  <c r="T167" i="220"/>
  <c r="T79" i="220"/>
  <c r="T151" i="220"/>
  <c r="T21" i="220"/>
  <c r="T78" i="220"/>
  <c r="T98" i="220"/>
  <c r="T75" i="220"/>
  <c r="T19" i="220"/>
  <c r="T128" i="220"/>
  <c r="T179" i="220"/>
  <c r="T180" i="220"/>
  <c r="T20" i="220"/>
  <c r="T105" i="220"/>
  <c r="T76" i="220"/>
  <c r="T123" i="220"/>
  <c r="T108" i="220"/>
  <c r="T166" i="220"/>
  <c r="T196" i="220"/>
  <c r="T190" i="220"/>
  <c r="T69" i="220"/>
  <c r="T49" i="220"/>
  <c r="T170" i="220"/>
  <c r="T109" i="220"/>
  <c r="T71" i="220"/>
  <c r="T127" i="220"/>
  <c r="T15" i="220"/>
  <c r="T87" i="220"/>
  <c r="T91" i="220"/>
  <c r="T50" i="220"/>
  <c r="T88" i="220"/>
  <c r="T183" i="220"/>
  <c r="T81" i="220"/>
  <c r="T132" i="220"/>
  <c r="T74" i="220"/>
  <c r="T164" i="220"/>
  <c r="T192" i="220"/>
  <c r="T29" i="220"/>
  <c r="T18" i="220"/>
  <c r="T125" i="220"/>
  <c r="T148" i="220"/>
  <c r="T28" i="220"/>
  <c r="T24" i="220"/>
  <c r="T80" i="220"/>
  <c r="T138" i="220"/>
  <c r="T121" i="220"/>
  <c r="T156" i="220"/>
  <c r="T64" i="220"/>
  <c r="T99" i="220"/>
  <c r="T94" i="220"/>
  <c r="T139" i="220"/>
  <c r="T83" i="220"/>
  <c r="T112" i="220"/>
  <c r="T160" i="220"/>
  <c r="T158" i="220"/>
  <c r="T154" i="220"/>
  <c r="T169" i="220"/>
  <c r="T197" i="220"/>
  <c r="T65" i="220"/>
  <c r="T189" i="220"/>
  <c r="T47" i="220"/>
  <c r="T96" i="220"/>
  <c r="T68" i="220"/>
  <c r="T16" i="220"/>
  <c r="T43" i="220"/>
  <c r="T116" i="220"/>
  <c r="T44" i="220"/>
  <c r="T40" i="220"/>
  <c r="T77" i="220"/>
  <c r="T133" i="220"/>
  <c r="T137" i="220"/>
  <c r="T86" i="220"/>
  <c r="T162" i="220"/>
  <c r="T165" i="220"/>
  <c r="T194" i="220"/>
  <c r="T178" i="220"/>
  <c r="T184" i="220"/>
  <c r="T46" i="220"/>
  <c r="T92" i="220"/>
  <c r="T100" i="220"/>
  <c r="T63" i="220"/>
  <c r="T90" i="220"/>
  <c r="T39" i="220"/>
  <c r="T104" i="220"/>
  <c r="T51" i="220"/>
  <c r="T140" i="220"/>
  <c r="T152" i="220"/>
  <c r="T171" i="220"/>
  <c r="T66" i="220"/>
  <c r="T168" i="220"/>
  <c r="T53" i="220"/>
  <c r="T120" i="220"/>
  <c r="T73" i="220"/>
  <c r="T58" i="220"/>
  <c r="T134" i="220"/>
  <c r="T124" i="220"/>
  <c r="T89" i="220"/>
  <c r="T107" i="220"/>
  <c r="T159" i="220"/>
  <c r="T153" i="220"/>
  <c r="T145" i="220"/>
  <c r="T175" i="220"/>
  <c r="T174" i="220"/>
  <c r="S202" i="682"/>
  <c r="S203" i="682" s="1"/>
  <c r="T187" i="220"/>
  <c r="T67" i="220"/>
  <c r="T97" i="220"/>
  <c r="T129" i="220"/>
  <c r="T38" i="220"/>
  <c r="T54" i="220"/>
  <c r="T61" i="220"/>
  <c r="T136" i="220"/>
  <c r="T126" i="220"/>
  <c r="T106" i="220"/>
  <c r="T131" i="220"/>
  <c r="T177" i="220"/>
  <c r="T191" i="220"/>
  <c r="T45" i="220"/>
  <c r="T93" i="220"/>
  <c r="T102" i="220"/>
  <c r="T17" i="220"/>
  <c r="T41" i="220"/>
  <c r="T22" i="220"/>
  <c r="T42" i="220"/>
  <c r="T60" i="220"/>
  <c r="T118" i="220"/>
  <c r="T72" i="220"/>
  <c r="T56" i="220"/>
  <c r="T135" i="220"/>
  <c r="T122" i="220"/>
  <c r="T85" i="220"/>
  <c r="T111" i="220"/>
  <c r="T113" i="220"/>
  <c r="T146" i="220"/>
  <c r="T161" i="220"/>
  <c r="T141" i="220"/>
  <c r="T173" i="220"/>
  <c r="T193" i="220"/>
  <c r="T143" i="220"/>
  <c r="T185" i="220"/>
  <c r="T101" i="220"/>
  <c r="T181" i="220"/>
  <c r="T26" i="220"/>
  <c r="T103" i="220"/>
  <c r="K22" i="555"/>
  <c r="K26" i="555"/>
  <c r="K23" i="555"/>
  <c r="K27" i="555"/>
  <c r="K24" i="555"/>
  <c r="K28" i="555"/>
  <c r="K25" i="555"/>
  <c r="K29" i="555"/>
  <c r="Q21" i="561"/>
  <c r="Q19" i="561" s="1"/>
  <c r="M21" i="561"/>
  <c r="M19" i="561" s="1"/>
  <c r="U19" i="561"/>
  <c r="E21" i="561"/>
  <c r="I21" i="561"/>
  <c r="I19" i="561" s="1"/>
  <c r="K21" i="555"/>
  <c r="K18" i="555"/>
  <c r="K17" i="555"/>
  <c r="K20" i="555"/>
  <c r="K16" i="555"/>
  <c r="K19" i="555"/>
  <c r="S205" i="682" l="1"/>
  <c r="E19" i="561"/>
  <c r="D21" i="561"/>
  <c r="K32" i="555"/>
  <c r="Y16" i="561"/>
  <c r="I16" i="561"/>
  <c r="I55" i="561" s="1"/>
  <c r="E16" i="561"/>
  <c r="AC16" i="561"/>
  <c r="Q16" i="561"/>
  <c r="Q55" i="561" s="1"/>
  <c r="U16" i="561"/>
  <c r="M16" i="561"/>
  <c r="M55" i="561" s="1"/>
  <c r="E55" i="561" l="1"/>
  <c r="E56" i="561" s="1"/>
  <c r="U55" i="561"/>
  <c r="U56" i="561" s="1"/>
  <c r="M56" i="561"/>
  <c r="Q56" i="561"/>
  <c r="I56" i="561"/>
  <c r="E58" i="561" l="1"/>
  <c r="I58" i="561" s="1"/>
  <c r="M58" i="561" s="1"/>
  <c r="Q58" i="561" s="1"/>
  <c r="U58" i="561" s="1"/>
  <c r="D56" i="561"/>
  <c r="E57" i="561"/>
  <c r="I57" i="561" s="1"/>
  <c r="M57" i="561" s="1"/>
  <c r="Q57" i="561" s="1"/>
  <c r="U57" i="561" s="1"/>
</calcChain>
</file>

<file path=xl/comments1.xml><?xml version="1.0" encoding="utf-8"?>
<comments xmlns="http://schemas.openxmlformats.org/spreadsheetml/2006/main">
  <authors>
    <author>MARCELO</author>
  </authors>
  <commentList>
    <comment ref="B74" authorId="0" shapeId="0">
      <text>
        <r>
          <rPr>
            <b/>
            <sz val="9"/>
            <color indexed="81"/>
            <rFont val="Segoe UI"/>
            <family val="2"/>
          </rPr>
          <t>MARCELO:</t>
        </r>
        <r>
          <rPr>
            <sz val="9"/>
            <color indexed="81"/>
            <rFont val="Segoe UI"/>
            <family val="2"/>
          </rPr>
          <t xml:space="preserve">
corrigir as numerações
</t>
        </r>
      </text>
    </comment>
    <comment ref="G114" authorId="0" shapeId="0">
      <text>
        <r>
          <rPr>
            <b/>
            <sz val="9"/>
            <color rgb="FF000000"/>
            <rFont val="Segoe UI"/>
            <family val="2"/>
            <charset val="1"/>
          </rPr>
          <t>MARCELO:</t>
        </r>
        <r>
          <rPr>
            <sz val="9"/>
            <color rgb="FF000000"/>
            <rFont val="Segoe UI"/>
            <family val="2"/>
            <charset val="1"/>
          </rPr>
          <t xml:space="preserve">
</t>
        </r>
        <r>
          <rPr>
            <sz val="9"/>
            <color rgb="FF000000"/>
            <rFont val="Segoe UI"/>
            <family val="2"/>
            <charset val="1"/>
          </rPr>
          <t xml:space="preserve">Colocar na memoria de calculo
</t>
        </r>
      </text>
    </comment>
  </commentList>
</comments>
</file>

<file path=xl/sharedStrings.xml><?xml version="1.0" encoding="utf-8"?>
<sst xmlns="http://schemas.openxmlformats.org/spreadsheetml/2006/main" count="9221" uniqueCount="1639">
  <si>
    <t>Código</t>
  </si>
  <si>
    <t>Tipo</t>
  </si>
  <si>
    <t>m²</t>
  </si>
  <si>
    <t>Und</t>
  </si>
  <si>
    <t>Total</t>
  </si>
  <si>
    <t>Item</t>
  </si>
  <si>
    <t>Serviço</t>
  </si>
  <si>
    <t>Composição</t>
  </si>
  <si>
    <t>m³</t>
  </si>
  <si>
    <t>Revisão</t>
  </si>
  <si>
    <t>TOTAL</t>
  </si>
  <si>
    <t>DISCRIMINAÇÃO</t>
  </si>
  <si>
    <t>QUANT.</t>
  </si>
  <si>
    <t>PREÇO TOTAL</t>
  </si>
  <si>
    <t>VALOR TOTAL</t>
  </si>
  <si>
    <t>MATERIAL</t>
  </si>
  <si>
    <t>MÃO DE OBRA</t>
  </si>
  <si>
    <t>1.1</t>
  </si>
  <si>
    <t>2.1</t>
  </si>
  <si>
    <t>2.2</t>
  </si>
  <si>
    <t>VALOR UNITÁRIO</t>
  </si>
  <si>
    <t>ITEM</t>
  </si>
  <si>
    <t>UN</t>
  </si>
  <si>
    <t>PERC.
(%)</t>
  </si>
  <si>
    <t>UND.</t>
  </si>
  <si>
    <t>% SIMPLES</t>
  </si>
  <si>
    <t>% ACUMULADO</t>
  </si>
  <si>
    <t>Prazo</t>
  </si>
  <si>
    <t>SERVIÇOS</t>
  </si>
  <si>
    <t>M2</t>
  </si>
  <si>
    <t>Base</t>
  </si>
  <si>
    <t>SINAPI</t>
  </si>
  <si>
    <t>H</t>
  </si>
  <si>
    <t>M3</t>
  </si>
  <si>
    <t>KG</t>
  </si>
  <si>
    <t>M</t>
  </si>
  <si>
    <t xml:space="preserve">UN </t>
  </si>
  <si>
    <t>3.1</t>
  </si>
  <si>
    <t>Município da Obra</t>
  </si>
  <si>
    <t>Tipo de Obra</t>
  </si>
  <si>
    <t>Valor percentual adotado</t>
  </si>
  <si>
    <t>BDI Adotado</t>
  </si>
  <si>
    <t>Declaração Informativa</t>
  </si>
  <si>
    <t>VALOR TOTAL DO ORÇAMENTO</t>
  </si>
  <si>
    <t>BASE</t>
  </si>
  <si>
    <t>CÓDIGO</t>
  </si>
  <si>
    <t>COMP-0004</t>
  </si>
  <si>
    <t>SERVENTE DE OBRAS</t>
  </si>
  <si>
    <t>SERVENTE COM ENCARGOS COMPLEMENTARES</t>
  </si>
  <si>
    <t>CLIENTE:</t>
  </si>
  <si>
    <t>DATA:</t>
  </si>
  <si>
    <t>REVISÃO:</t>
  </si>
  <si>
    <t>LOCAL:</t>
  </si>
  <si>
    <t>SERVIÇOS:</t>
  </si>
  <si>
    <t>PAVIMENTO:</t>
  </si>
  <si>
    <t>DADOS DO EMPREENDIMENTO</t>
  </si>
  <si>
    <t>CLIENTE</t>
  </si>
  <si>
    <t>ENDEREÇO</t>
  </si>
  <si>
    <t>Bairro</t>
  </si>
  <si>
    <t>Cidade</t>
  </si>
  <si>
    <t>UF</t>
  </si>
  <si>
    <t>Área Total de Construção</t>
  </si>
  <si>
    <t>ENCARGOS SOCIAIS HORISTAS</t>
  </si>
  <si>
    <t>Data do Orçamento</t>
  </si>
  <si>
    <t>ENCARGOS SOCIAIS MENSALISTAS</t>
  </si>
  <si>
    <t>INDICADOS</t>
  </si>
  <si>
    <t>RESUMO GERAL DE LEVANTAMENTOS</t>
  </si>
  <si>
    <t>LEVANTAMENTOS</t>
  </si>
  <si>
    <t>OBJETO:</t>
  </si>
  <si>
    <t>BASE:</t>
  </si>
  <si>
    <t>ENCARGOS SOCIAIS HORISTAS:</t>
  </si>
  <si>
    <t>ENCARGOS SOCIAIS MENSALISTAS:</t>
  </si>
  <si>
    <r>
      <t xml:space="preserve">(AC) - </t>
    </r>
    <r>
      <rPr>
        <sz val="10"/>
        <rFont val="Arial Narrow"/>
        <family val="2"/>
      </rPr>
      <t>Administração Central</t>
    </r>
  </si>
  <si>
    <r>
      <t xml:space="preserve">(S) + (G) - </t>
    </r>
    <r>
      <rPr>
        <sz val="10"/>
        <rFont val="Arial Narrow"/>
        <family val="2"/>
      </rPr>
      <t>Seguro e Garantia</t>
    </r>
  </si>
  <si>
    <r>
      <t xml:space="preserve">(R) - </t>
    </r>
    <r>
      <rPr>
        <sz val="10"/>
        <rFont val="Arial Narrow"/>
        <family val="2"/>
      </rPr>
      <t>Risco</t>
    </r>
  </si>
  <si>
    <r>
      <t xml:space="preserve">(DF) - </t>
    </r>
    <r>
      <rPr>
        <sz val="10"/>
        <rFont val="Arial Narrow"/>
        <family val="2"/>
      </rPr>
      <t>Despesas Financeiras</t>
    </r>
  </si>
  <si>
    <r>
      <t xml:space="preserve">(L) - </t>
    </r>
    <r>
      <rPr>
        <sz val="10"/>
        <rFont val="Arial Narrow"/>
        <family val="2"/>
      </rPr>
      <t>Lucro</t>
    </r>
  </si>
  <si>
    <r>
      <t xml:space="preserve">(I1) - </t>
    </r>
    <r>
      <rPr>
        <sz val="10"/>
        <rFont val="Arial Narrow"/>
        <family val="2"/>
      </rPr>
      <t>PIS</t>
    </r>
  </si>
  <si>
    <r>
      <t xml:space="preserve">(I2) - </t>
    </r>
    <r>
      <rPr>
        <sz val="10"/>
        <rFont val="Arial Narrow"/>
        <family val="2"/>
      </rPr>
      <t>COFINS</t>
    </r>
  </si>
  <si>
    <r>
      <t xml:space="preserve">(I3) - </t>
    </r>
    <r>
      <rPr>
        <sz val="10"/>
        <rFont val="Arial Narrow"/>
        <family val="2"/>
      </rPr>
      <t>ISS</t>
    </r>
  </si>
  <si>
    <t>Construção de Edifícios e Reformas (Quadras, unidades habitacionais, escolas, restaurantes, etc)</t>
  </si>
  <si>
    <t>Base de cálculo ISS do município</t>
  </si>
  <si>
    <t>Descrição</t>
  </si>
  <si>
    <r>
      <t xml:space="preserve">(I4) - </t>
    </r>
    <r>
      <rPr>
        <sz val="10"/>
        <rFont val="Arial Narrow"/>
        <family val="2"/>
      </rPr>
      <t>Contribuição Previdenciária (CPRB)</t>
    </r>
  </si>
  <si>
    <t>Fonte da composição, valores de referência e fórmula do BDI: Acórdão 2622/2013-TCU-Plenário</t>
  </si>
  <si>
    <t>O valores do BDI acima foram calculados com emprego da equação a seguir:</t>
  </si>
  <si>
    <t>ISS:</t>
  </si>
  <si>
    <t>Onde:</t>
  </si>
  <si>
    <t>AC - taxa de rateio da Administração Central</t>
  </si>
  <si>
    <t>DF - taxa das despesas financeiras</t>
  </si>
  <si>
    <t>R, S, G - taxa de risco, seguro e garantia do empreendimento</t>
  </si>
  <si>
    <t>I - taxa de tributos (onerado: I = COFINS+PIS+ISS / desonerado: I = COFINS+PIS+ISS+CPRB)</t>
  </si>
  <si>
    <t>L - taxa de lucro</t>
  </si>
  <si>
    <t>OBJETO</t>
  </si>
  <si>
    <t>SERVIÇO</t>
  </si>
  <si>
    <t>VALORES</t>
  </si>
  <si>
    <t>MESES</t>
  </si>
  <si>
    <t>MÊS 01</t>
  </si>
  <si>
    <t>MÊS 02</t>
  </si>
  <si>
    <t>MÊS 03</t>
  </si>
  <si>
    <t>MÊS 06</t>
  </si>
  <si>
    <t>TOTAL SIMPLES COM BDI</t>
  </si>
  <si>
    <t>PERCENTUAL SIMPLES</t>
  </si>
  <si>
    <t>TOTAL ACUMULADO COM BDI</t>
  </si>
  <si>
    <t>PERCENTUAL ACUMULADO</t>
  </si>
  <si>
    <t>2.3</t>
  </si>
  <si>
    <t>DEMOLIÇÕES</t>
  </si>
  <si>
    <t>CANTEIRO</t>
  </si>
  <si>
    <t>MONTAGEM E DESMONTAGEM DE ANDAIME MULTIDIRECIONAL (EXCLUSIVE ANDAIME E LIMPEZA). AF_11/2017</t>
  </si>
  <si>
    <t>MÊS</t>
  </si>
  <si>
    <t>74209/001</t>
  </si>
  <si>
    <t>ADMINISTRAÇÃO</t>
  </si>
  <si>
    <t>ENCARREGADO GERAL DE OBRAS COM ENCARGOS COMPLEMENTARES</t>
  </si>
  <si>
    <t>1.2</t>
  </si>
  <si>
    <t>2.4</t>
  </si>
  <si>
    <t>2.5</t>
  </si>
  <si>
    <t xml:space="preserve"> 1.1 </t>
  </si>
  <si>
    <t xml:space="preserve"> 1.2 </t>
  </si>
  <si>
    <t xml:space="preserve"> 93572 </t>
  </si>
  <si>
    <t>MES</t>
  </si>
  <si>
    <t xml:space="preserve"> 2.1 </t>
  </si>
  <si>
    <t xml:space="preserve"> 2.2 </t>
  </si>
  <si>
    <t xml:space="preserve"> 2.3 </t>
  </si>
  <si>
    <t xml:space="preserve"> COMP-0004 </t>
  </si>
  <si>
    <t>Próprio</t>
  </si>
  <si>
    <t>LOCAÇÃO DE ANDAIME METÁLICO TUBULAR</t>
  </si>
  <si>
    <t>MXMES</t>
  </si>
  <si>
    <t xml:space="preserve"> 97065 </t>
  </si>
  <si>
    <t xml:space="preserve"> 3.1 </t>
  </si>
  <si>
    <t xml:space="preserve"> 3.2 </t>
  </si>
  <si>
    <t xml:space="preserve"> 4.1 </t>
  </si>
  <si>
    <t xml:space="preserve"> 5.1.1 </t>
  </si>
  <si>
    <t xml:space="preserve"> 5.2.1 </t>
  </si>
  <si>
    <t>MÊS 04</t>
  </si>
  <si>
    <t>MÊS 05</t>
  </si>
  <si>
    <t/>
  </si>
  <si>
    <t>VALOR SEM BDI</t>
  </si>
  <si>
    <t>VALOR COM BDI</t>
  </si>
  <si>
    <t>BDI OBRA:</t>
  </si>
  <si>
    <t>BDI DIFERENCIADO:</t>
  </si>
  <si>
    <t>VALORES UNITÁRIOS SEM BDI</t>
  </si>
  <si>
    <t>VALORES TOTAIS SEM BDI</t>
  </si>
  <si>
    <t>TOTAL DO ORÇAMENTO SEM BDI</t>
  </si>
  <si>
    <t>TOTAL DO ORÇAMENTO COM BDI</t>
  </si>
  <si>
    <t>DATA DO ORÇAMENTO:</t>
  </si>
  <si>
    <t>PRAZO DA OBRA:</t>
  </si>
  <si>
    <t>S1</t>
  </si>
  <si>
    <t>S2</t>
  </si>
  <si>
    <t>S3</t>
  </si>
  <si>
    <t>S4</t>
  </si>
  <si>
    <t>S5</t>
  </si>
  <si>
    <t>S6</t>
  </si>
  <si>
    <t>S7</t>
  </si>
  <si>
    <t>S8</t>
  </si>
  <si>
    <t>S9</t>
  </si>
  <si>
    <t>S10</t>
  </si>
  <si>
    <t>S11</t>
  </si>
  <si>
    <t>S12</t>
  </si>
  <si>
    <t>S13</t>
  </si>
  <si>
    <t>S14</t>
  </si>
  <si>
    <t>S15</t>
  </si>
  <si>
    <t>S16</t>
  </si>
  <si>
    <t>S17</t>
  </si>
  <si>
    <t>S18</t>
  </si>
  <si>
    <t>S19</t>
  </si>
  <si>
    <t>S20</t>
  </si>
  <si>
    <t>S21</t>
  </si>
  <si>
    <t>S22</t>
  </si>
  <si>
    <t>S23</t>
  </si>
  <si>
    <t>S24</t>
  </si>
  <si>
    <t xml:space="preserve"> 00010527 </t>
  </si>
  <si>
    <t xml:space="preserve"> 00040818 </t>
  </si>
  <si>
    <t>ENCARREGADO GERAL DE OBRAS (MENSALISTA)</t>
  </si>
  <si>
    <t xml:space="preserve"> 00006111 </t>
  </si>
  <si>
    <t xml:space="preserve"> 00004750 </t>
  </si>
  <si>
    <t>ORSE</t>
  </si>
  <si>
    <t xml:space="preserve"> 00043499 </t>
  </si>
  <si>
    <t xml:space="preserve"> 00002696 </t>
  </si>
  <si>
    <t xml:space="preserve"> 00040863 </t>
  </si>
  <si>
    <t>EXAMES - MENSALISTA (COLETADO CAIXA)</t>
  </si>
  <si>
    <t xml:space="preserve"> 00043475 </t>
  </si>
  <si>
    <t xml:space="preserve"> 00040864 </t>
  </si>
  <si>
    <t>SEGURO - MENSALISTA (COLETADO CAIXA)</t>
  </si>
  <si>
    <t>Banco</t>
  </si>
  <si>
    <t>Quant.</t>
  </si>
  <si>
    <t>Valor Unit</t>
  </si>
  <si>
    <t>SEDI - SERVIÇOS DIVERSOS</t>
  </si>
  <si>
    <t>Composição Auxiliar</t>
  </si>
  <si>
    <t>Insumo</t>
  </si>
  <si>
    <t>Mão de Obra</t>
  </si>
  <si>
    <t>Equipamento</t>
  </si>
  <si>
    <t>MO sem LS =&gt;</t>
  </si>
  <si>
    <t>LS =&gt;</t>
  </si>
  <si>
    <t>MO com LS =&gt;</t>
  </si>
  <si>
    <t>Valor do BDI =&gt;</t>
  </si>
  <si>
    <t>Valor com BDI =&gt;</t>
  </si>
  <si>
    <t xml:space="preserve"> 95422 </t>
  </si>
  <si>
    <t>CURSO DE CAPACITAÇÃO PARA ENCARREGADO GERAL DE OBRAS (ENCARGOS COMPLEMENTARES) - MENSALISTA</t>
  </si>
  <si>
    <t>Material</t>
  </si>
  <si>
    <t>CANT - CANTEIRO DE OBRAS</t>
  </si>
  <si>
    <t>FUES - FUNDAÇÕES E ESTRUTURAS</t>
  </si>
  <si>
    <t xml:space="preserve"> 88316 </t>
  </si>
  <si>
    <t xml:space="preserve"> 100251 </t>
  </si>
  <si>
    <t>TRANSPORTE HORIZONTAL MANUAL, DE TUBO DE AÇO CARBONO LEVE OU MÉDIO, PRETO OU GALVANIZADO, COM DIÂMETRO MAIOR QUE 32 MM E MENOR OU IGUAL A 65 MM (UNIDADE: MXKM). AF_07/2019</t>
  </si>
  <si>
    <t>MXKM</t>
  </si>
  <si>
    <t xml:space="preserve"> 88278 </t>
  </si>
  <si>
    <t>MONTADOR DE ESTRUTURA METÁLICA COM ENCARGOS COMPLEMENTARES</t>
  </si>
  <si>
    <t>INSTALAÇÕES ELÉTRICAS</t>
  </si>
  <si>
    <t>DISJUNTORES</t>
  </si>
  <si>
    <t>PRÓPRIO</t>
  </si>
  <si>
    <t xml:space="preserve"> 1 </t>
  </si>
  <si>
    <t xml:space="preserve"> 2 </t>
  </si>
  <si>
    <t>SBC</t>
  </si>
  <si>
    <t xml:space="preserve"> 00005075 </t>
  </si>
  <si>
    <t>PREGO DE ACO POLIDO COM CABECA 18 X 30 (2 3/4 X 10)</t>
  </si>
  <si>
    <t>INEL - INSTALAÇÃO ELÉTRICA/ELETRIFICAÇÃO E ILUMINAÇÃO EXTERNA</t>
  </si>
  <si>
    <t xml:space="preserve"> 88247 </t>
  </si>
  <si>
    <t>AUXILIAR DE ELETRICISTA COM ENCARGOS COMPLEMENTARES</t>
  </si>
  <si>
    <t xml:space="preserve"> 88264 </t>
  </si>
  <si>
    <t>ELETRICISTA COM ENCARGOS COMPLEMENTARES</t>
  </si>
  <si>
    <t xml:space="preserve"> 88243 </t>
  </si>
  <si>
    <t>AJUDANTE ESPECIALIZADO COM ENCARGOS COMPLEMENTARES</t>
  </si>
  <si>
    <t xml:space="preserve"> 00002436 </t>
  </si>
  <si>
    <t>ELETRICISTA</t>
  </si>
  <si>
    <t>FORROS</t>
  </si>
  <si>
    <t>un</t>
  </si>
  <si>
    <t>S25</t>
  </si>
  <si>
    <t>S26</t>
  </si>
  <si>
    <t>S27</t>
  </si>
  <si>
    <t>S28</t>
  </si>
  <si>
    <t>S29</t>
  </si>
  <si>
    <t>S30</t>
  </si>
  <si>
    <t>S31</t>
  </si>
  <si>
    <t>S32</t>
  </si>
  <si>
    <t>MÊS 07</t>
  </si>
  <si>
    <t>MÊS 08</t>
  </si>
  <si>
    <t>INHI - INSTALAÇÕES HIDROS SANITÁRIAS</t>
  </si>
  <si>
    <t xml:space="preserve"> 88248 </t>
  </si>
  <si>
    <t>AUXILIAR DE ENCANADOR OU BOMBEIRO HIDRÁULICO COM ENCARGOS COMPLEMENTARES</t>
  </si>
  <si>
    <t xml:space="preserve"> 88267 </t>
  </si>
  <si>
    <t>ENCANADOR OU BOMBEIRO HIDRÁULICO COM ENCARGOS COMPLEMENTARES</t>
  </si>
  <si>
    <t xml:space="preserve"> 88261 </t>
  </si>
  <si>
    <t>CARPINTEIRO DE ESQUADRIA COM ENCARGOS COMPLEMENTARES</t>
  </si>
  <si>
    <t>CJ</t>
  </si>
  <si>
    <t>3.9</t>
  </si>
  <si>
    <t>ELETRODUTOS E ELETROCALHAS</t>
  </si>
  <si>
    <t>PEÇAS E ACESSÓRIOS</t>
  </si>
  <si>
    <t>FIOS E CABOS</t>
  </si>
  <si>
    <t xml:space="preserve"> 2.4 </t>
  </si>
  <si>
    <t xml:space="preserve"> 2.5 </t>
  </si>
  <si>
    <t>INES - INSTALAÇÕES ESPECIAIS</t>
  </si>
  <si>
    <t>TOTAL GERAL COM BDI</t>
  </si>
  <si>
    <t xml:space="preserve"> 4 </t>
  </si>
  <si>
    <t xml:space="preserve"> 5 </t>
  </si>
  <si>
    <t xml:space="preserve"> 5.1 </t>
  </si>
  <si>
    <t xml:space="preserve"> 5.2 </t>
  </si>
  <si>
    <t>COMP-0002</t>
  </si>
  <si>
    <t>COMP-0002B</t>
  </si>
  <si>
    <t xml:space="preserve"> COMP-0002 </t>
  </si>
  <si>
    <t xml:space="preserve"> COMP-0002B </t>
  </si>
  <si>
    <t>FERRAMENTAS - FAMILIA ENCARREGADO GERAL - MENSALISTA (ENCARGOS COMPLEMENTARES - COLETADO CAIXA)</t>
  </si>
  <si>
    <t>EPI - FAMILIA ENCARREGADO GERAL - MENSALISTA (ENCARGOS COMPLEMENTARES - COLETADO CAIXA)</t>
  </si>
  <si>
    <t xml:space="preserve"> 00010776 </t>
  </si>
  <si>
    <t>LOCACAO DE ANDAIME METALICO TUBULAR DE ENCAIXE, TIPO DE TORRE, COM LARGURA DE 1 ATE 1,5 M E ALTURA DE *1,00* M (INCLUSO SAPATAS FIXAS OU RODIZIOS)</t>
  </si>
  <si>
    <t>CPOS</t>
  </si>
  <si>
    <t xml:space="preserve"> 1.3 </t>
  </si>
  <si>
    <t xml:space="preserve"> 00034709 </t>
  </si>
  <si>
    <t>DISJUNTOR TIPO DIN/IEC, TRIPOLAR DE 10 ATE 50A</t>
  </si>
  <si>
    <t xml:space="preserve"> 88266 </t>
  </si>
  <si>
    <t>ELETROTÉCNICO COM ENCARGOS COMPLEMENTARES</t>
  </si>
  <si>
    <t>4.1</t>
  </si>
  <si>
    <t>DESCRIÇÃO</t>
  </si>
  <si>
    <t>PERFILADO PERFURADO 38x38 MM</t>
  </si>
  <si>
    <t>063004</t>
  </si>
  <si>
    <t>B</t>
  </si>
  <si>
    <t xml:space="preserve">INTERRUPTOR SIMPLES (2 MÓDULOS), 10A/250V, INCLUINDO SUPORTE E PLACA - FORNECIMENTO E INSTALAÇÃO. AF_12/2015	</t>
  </si>
  <si>
    <t xml:space="preserve">INTERRUPTOR SIMPLES (1 MÓDULO), 10A/250V, INCLUINDO SUPORTE E PLACA - FORNECIMENTO E INSTALAÇÃO. AF_12/2015	</t>
  </si>
  <si>
    <t xml:space="preserve">TOMADA MÉDIA DE EMBUTIR (2 MÓDULOS), 2P+T 10 A, INCLUINDO SUPORTE E PLACA - FORNECIMENTO E INSTALAÇÃO. AF_12/2015	</t>
  </si>
  <si>
    <t xml:space="preserve">TOMADA MÉDIA DE EMBUTIR (1 MÓDULO), 2P+T 10 A, INCLUINDO SUPORTE E PLACA - FORNECIMENTO E INSTALAÇÃO. AF_12/2015	</t>
  </si>
  <si>
    <t xml:space="preserve">CAIXA RETANGULAR 4" X 2" MÉDIA (1,30 M DO PISO), PVC, INSTALADA EM PAREDE - FORNECIMENTO E INSTALAÇÃO. AF_12/2015	</t>
  </si>
  <si>
    <t xml:space="preserve">CAIXA OCTOGONAL 4" X 4", PVC, INSTALADA EM LAJE - FORNECIMENTO E INSTALAÇÃO. AF_12/2015	</t>
  </si>
  <si>
    <t xml:space="preserve">EMENDA INTERNA ""T"" PARA PERFILADO 38x38mm	</t>
  </si>
  <si>
    <t>060525</t>
  </si>
  <si>
    <t xml:space="preserve">SAIDA LATERAL SIMPLES PARA ELETRODUTO 3/4""	</t>
  </si>
  <si>
    <t>062572</t>
  </si>
  <si>
    <t>LUMINÁRIAS</t>
  </si>
  <si>
    <t xml:space="preserve"> </t>
  </si>
  <si>
    <t>COMP-2382</t>
  </si>
  <si>
    <t>COMP-0752</t>
  </si>
  <si>
    <t>INSTALAÇÕES DE CABEAMENTO ESTRUTURADO</t>
  </si>
  <si>
    <t>A</t>
  </si>
  <si>
    <t>1.3</t>
  </si>
  <si>
    <t>BONIFICAÇÃO DE DESPESAS INDIRETAS
BDI - OBRA ONERADO</t>
  </si>
  <si>
    <t>Limites das parcelas do BDI para obras do tipo acima selecionado.
Acórdão TCU 2622/2013</t>
  </si>
  <si>
    <t>Mín</t>
  </si>
  <si>
    <t>Med.</t>
  </si>
  <si>
    <t>Máx.</t>
  </si>
  <si>
    <t>Limites do valor do BDI para obras do tipo acima selecionado.
Acórdão TCU 2622/2013</t>
  </si>
  <si>
    <t>BONIFICAÇÃO DE DESPESAS INDIRETAS
BDI - DIFERENCIADO ONERADO</t>
  </si>
  <si>
    <t>BONIFICAÇÃO DE DESPESAS INDIRETAS
BDI - OBRA DESONERADO</t>
  </si>
  <si>
    <t>BONIFICAÇÃO DE DESPESAS INDIRETAS
BDI - DIFERENCIADO DESONERADO</t>
  </si>
  <si>
    <t xml:space="preserve"> 063004 </t>
  </si>
  <si>
    <t>PERFILADO PERFURADO 38x38mm</t>
  </si>
  <si>
    <t xml:space="preserve"> 91996 </t>
  </si>
  <si>
    <t>TOMADA MÉDIA DE EMBUTIR (1 MÓDULO), 2P+T 10 A, INCLUINDO SUPORTE E PLACA - FORNECIMENTO E INSTALAÇÃO. AF_12/2015</t>
  </si>
  <si>
    <t>EMENDA INTERNA ""T"" PARA PERFILADO 38x38mm</t>
  </si>
  <si>
    <t>BDI ONERADO</t>
  </si>
  <si>
    <t>BDI DIFERENCIADO ONERADO</t>
  </si>
  <si>
    <t>VANTAJOSIDADE</t>
  </si>
  <si>
    <t>TOTAL DO ORÇAMENTO ONERADO COM BDI</t>
  </si>
  <si>
    <t>% DE DIFERENÇA</t>
  </si>
  <si>
    <t>ORÇAMENTO COM MELHOR VANTAJOSIDADE</t>
  </si>
  <si>
    <t xml:space="preserve"> 94962 </t>
  </si>
  <si>
    <t xml:space="preserve"> 88262 </t>
  </si>
  <si>
    <t>CARPINTEIRO DE FORMAS COM ENCARGOS COMPLEMENTARES</t>
  </si>
  <si>
    <t xml:space="preserve"> 00004491 </t>
  </si>
  <si>
    <t>PONTALETE *7,5 X 7,5* CM EM PINUS, MISTA OU EQUIVALENTE DA REGIAO - BRUTA</t>
  </si>
  <si>
    <t xml:space="preserve"> 00004813 </t>
  </si>
  <si>
    <t xml:space="preserve"> 00004417 </t>
  </si>
  <si>
    <t>SARRAFO NAO APARELHADO *2,5 X 7* CM, EM MACARANDUBA, ANGELIM OU EQUIVALENTE DA REGIAO -  BRUTA</t>
  </si>
  <si>
    <t xml:space="preserve"> 91946 </t>
  </si>
  <si>
    <t>SUPORTE PARAFUSADO COM PLACA DE ENCAIXE 4" X 2" MÉDIO (1,30 M DO PISO) PARA PONTO ELÉTRICO - FORNECIMENTO E INSTALAÇÃO. AF_12/2015</t>
  </si>
  <si>
    <t xml:space="preserve"> 00038104 </t>
  </si>
  <si>
    <t>TOMADA RJ45, 8 FIOS, CAT 5E (APENAS MODULO)</t>
  </si>
  <si>
    <t>CURVA ABC SERVIÇOS 
ONERADO</t>
  </si>
  <si>
    <t>ORÇAMENTO ANÁLITICO
ONERADO</t>
  </si>
  <si>
    <t>RESUMO
ONERADO</t>
  </si>
  <si>
    <t>ORÇAMENTO SINTÉTICO
ONERADO</t>
  </si>
  <si>
    <t>CRONOGRAMA FÍSICO-FINANCEIRO
ONERADO</t>
  </si>
  <si>
    <t>COMPOSIÇÕES DE ENCARGOS SOCIAIS</t>
  </si>
  <si>
    <t>BDI OBRA</t>
  </si>
  <si>
    <r>
      <rPr>
        <b/>
        <sz val="10"/>
        <rFont val="Arial Narrow"/>
        <family val="2"/>
      </rPr>
      <t>COM</t>
    </r>
    <r>
      <rPr>
        <sz val="10"/>
        <rFont val="Arial Narrow"/>
        <family val="2"/>
      </rPr>
      <t xml:space="preserve"> </t>
    </r>
    <r>
      <rPr>
        <b/>
        <sz val="10"/>
        <rFont val="Arial Narrow"/>
        <family val="2"/>
      </rPr>
      <t>DESONERAÇÃO</t>
    </r>
  </si>
  <si>
    <r>
      <rPr>
        <b/>
        <sz val="10"/>
        <rFont val="Arial Narrow"/>
        <family val="2"/>
      </rPr>
      <t>SEM</t>
    </r>
    <r>
      <rPr>
        <sz val="10"/>
        <rFont val="Arial Narrow"/>
        <family val="2"/>
      </rPr>
      <t xml:space="preserve"> </t>
    </r>
    <r>
      <rPr>
        <b/>
        <sz val="10"/>
        <rFont val="Arial Narrow"/>
        <family val="2"/>
      </rPr>
      <t>DESONERAÇÃO</t>
    </r>
  </si>
  <si>
    <r>
      <rPr>
        <b/>
        <sz val="10"/>
        <rFont val="Arial Narrow"/>
        <family val="2"/>
      </rPr>
      <t>HORISTA
%</t>
    </r>
  </si>
  <si>
    <r>
      <rPr>
        <b/>
        <sz val="10"/>
        <rFont val="Arial Narrow"/>
        <family val="2"/>
      </rPr>
      <t>MENSALISTA
%</t>
    </r>
  </si>
  <si>
    <r>
      <rPr>
        <b/>
        <sz val="10"/>
        <rFont val="Arial Narrow"/>
        <family val="2"/>
      </rPr>
      <t>GRUPO</t>
    </r>
    <r>
      <rPr>
        <sz val="10"/>
        <rFont val="Arial Narrow"/>
        <family val="2"/>
      </rPr>
      <t xml:space="preserve"> </t>
    </r>
    <r>
      <rPr>
        <b/>
        <sz val="10"/>
        <rFont val="Arial Narrow"/>
        <family val="2"/>
      </rPr>
      <t>A</t>
    </r>
  </si>
  <si>
    <t>A1</t>
  </si>
  <si>
    <t>INSS</t>
  </si>
  <si>
    <t>A2</t>
  </si>
  <si>
    <t>SESI</t>
  </si>
  <si>
    <t>A3</t>
  </si>
  <si>
    <t>SENAI</t>
  </si>
  <si>
    <t>A4</t>
  </si>
  <si>
    <t>INCRA</t>
  </si>
  <si>
    <t>A5</t>
  </si>
  <si>
    <t>SEBRAE</t>
  </si>
  <si>
    <t>A6</t>
  </si>
  <si>
    <t>Salário Educação</t>
  </si>
  <si>
    <t>A7</t>
  </si>
  <si>
    <t>Seguro Contra Acidentes de Trabalho</t>
  </si>
  <si>
    <t>A8</t>
  </si>
  <si>
    <t>FGTS</t>
  </si>
  <si>
    <t>A9</t>
  </si>
  <si>
    <t>SECONCI</t>
  </si>
  <si>
    <r>
      <rPr>
        <b/>
        <sz val="10"/>
        <rFont val="Arial Narrow"/>
        <family val="2"/>
      </rPr>
      <t>GRUPO</t>
    </r>
    <r>
      <rPr>
        <sz val="10"/>
        <rFont val="Arial Narrow"/>
        <family val="2"/>
      </rPr>
      <t xml:space="preserve"> </t>
    </r>
    <r>
      <rPr>
        <b/>
        <sz val="10"/>
        <rFont val="Arial Narrow"/>
        <family val="2"/>
      </rPr>
      <t>B</t>
    </r>
  </si>
  <si>
    <t>B1</t>
  </si>
  <si>
    <t>Repouso Semanal Remunerado</t>
  </si>
  <si>
    <t>Não incide</t>
  </si>
  <si>
    <t>B2</t>
  </si>
  <si>
    <t>Feriados</t>
  </si>
  <si>
    <t>B3</t>
  </si>
  <si>
    <t>Auxílio - Enfermidade</t>
  </si>
  <si>
    <t>B4</t>
  </si>
  <si>
    <t>13º Salário</t>
  </si>
  <si>
    <t>B5</t>
  </si>
  <si>
    <t>Licença Paternidade</t>
  </si>
  <si>
    <t>B6</t>
  </si>
  <si>
    <t>Faltas Justificadas</t>
  </si>
  <si>
    <t>B7</t>
  </si>
  <si>
    <t>Dias de Chuvas</t>
  </si>
  <si>
    <t>B8</t>
  </si>
  <si>
    <t>Auxílio Acidente de Trabalho</t>
  </si>
  <si>
    <t>B9</t>
  </si>
  <si>
    <t>Férias Gozadas</t>
  </si>
  <si>
    <t>B10</t>
  </si>
  <si>
    <t>Salário Maternidade</t>
  </si>
  <si>
    <r>
      <rPr>
        <b/>
        <sz val="10"/>
        <rFont val="Arial Narrow"/>
        <family val="2"/>
      </rPr>
      <t>GRUPO</t>
    </r>
    <r>
      <rPr>
        <sz val="10"/>
        <rFont val="Arial Narrow"/>
        <family val="2"/>
      </rPr>
      <t xml:space="preserve"> </t>
    </r>
    <r>
      <rPr>
        <b/>
        <sz val="10"/>
        <rFont val="Arial Narrow"/>
        <family val="2"/>
      </rPr>
      <t>C</t>
    </r>
  </si>
  <si>
    <t>C1</t>
  </si>
  <si>
    <t>Aviso Prévio Indenizado</t>
  </si>
  <si>
    <t>C2</t>
  </si>
  <si>
    <t>Aviso Prévio Trabalhado</t>
  </si>
  <si>
    <t>C3</t>
  </si>
  <si>
    <t>Férias Indenizadas</t>
  </si>
  <si>
    <t>C4</t>
  </si>
  <si>
    <t>Depósito Rescisão Sem Justa Causa</t>
  </si>
  <si>
    <t>C5</t>
  </si>
  <si>
    <t>Indenização Adicional</t>
  </si>
  <si>
    <t>C</t>
  </si>
  <si>
    <r>
      <rPr>
        <b/>
        <sz val="10"/>
        <rFont val="Arial Narrow"/>
        <family val="2"/>
      </rPr>
      <t>GRUPO</t>
    </r>
    <r>
      <rPr>
        <sz val="10"/>
        <rFont val="Arial Narrow"/>
        <family val="2"/>
      </rPr>
      <t xml:space="preserve"> </t>
    </r>
    <r>
      <rPr>
        <b/>
        <sz val="10"/>
        <rFont val="Arial Narrow"/>
        <family val="2"/>
      </rPr>
      <t>D</t>
    </r>
  </si>
  <si>
    <t>D1</t>
  </si>
  <si>
    <t>Reincidência de Grupo A sobre Grupo B</t>
  </si>
  <si>
    <t>D2</t>
  </si>
  <si>
    <t>Reincidência de Grupo A sobre Aviso Prévio Trabalhado e Reincidência do FGTS sobre Aviso
Prévio Indenizado</t>
  </si>
  <si>
    <t>D</t>
  </si>
  <si>
    <t>TOTAL(A+B+C+D)</t>
  </si>
  <si>
    <t>FONTE: SINAPI - INFORMAÇÃO DIAS DE CHUVA – INMET</t>
  </si>
  <si>
    <t>BDI DIFER.</t>
  </si>
  <si>
    <t xml:space="preserve">ALUGUEL DE CACAMBA 48 HORAS COM RETIRADA	</t>
  </si>
  <si>
    <t xml:space="preserve"> 210500 </t>
  </si>
  <si>
    <t>ALUGUEL DE CACAMBA 48 HORAS COM RETIRADA</t>
  </si>
  <si>
    <t xml:space="preserve"> 012334 </t>
  </si>
  <si>
    <t>ALUGUEL DE CACAMBA 48 HORAS</t>
  </si>
  <si>
    <t>Sede</t>
  </si>
  <si>
    <t xml:space="preserve">CABO DE COBRE FLEXÍVEL ISOLADO, 2,5 MM², ANTI-CHAMA 450/750 V, PARA CIRCUITOS TERMINAIS - FORNECIMENTO E INSTALAÇÃO. AF_12/2015 </t>
  </si>
  <si>
    <t xml:space="preserve">CABO DE COBRE FLEXÍVEL ISOLADO, 4 MM², ANTI-CHAMA 450/750 V, PARA CIRCUITOS TERMINAIS - FORNECIMENTO E INSTALAÇÃO. AF_12/2015 </t>
  </si>
  <si>
    <t xml:space="preserve">CABO DE COBRE FLEXÍVEL ISOLADO, 6 MM², ANTI-CHAMA 0,6/1,0 KV, PARA CIRCUITOS TERMINAIS - FORNECIMENTO E INSTALAÇÃO. AF_12/2015 </t>
  </si>
  <si>
    <t xml:space="preserve">CABO DE COBRE FLEXÍVEL ISOLADO, 95 MM², ANTI-CHAMA 0,6/1,0 KV, PARA DISTRIBUIÇÃO - FORNECIMENTO E INSTALAÇÃO. AF_12/2015 </t>
  </si>
  <si>
    <t xml:space="preserve">CABO DE COBRE FLEXÍVEL ISOLADO, 4 MM², ANTI-CHAMA 0,6/1,0 KV, PARA CIRCUITOS TERMINAIS - FORNECIMENTO E INSTALAÇÃO. AF_12/2015 </t>
  </si>
  <si>
    <t xml:space="preserve">CABO DE COBRE FLEXÍVEL ISOLADO, 16 MM², ANTI-CHAMA 0,6/1,0 KV, PARA CIRCUITOS TERMINAIS - FORNECIMENTO E INSTALAÇÃO. AF_12/2015 </t>
  </si>
  <si>
    <t xml:space="preserve">CABO DE COBRE FLEXÍVEL ISOLADO, 150 MM², ANTI-CHAMA 0,6/1,0 KV, PARA DISTRIBUIÇÃO - FORNECIMENTO E INSTALAÇÃO. AF_12/2015 </t>
  </si>
  <si>
    <t xml:space="preserve">CABO DE COBRE FLEXÍVEL ISOLADO, 10 MM², ANTI-CHAMA 0,6/1,0 KV, PARA CIRCUITOS TERMINAIS - FORNECIMENTO E INSTALAÇÃO. AF_12/2015 </t>
  </si>
  <si>
    <t xml:space="preserve">DISJUNTOR TRIPOLAR TIPO DIN, CORRENTE NOMINAL DE 10A - FORNECIMENTO E INSTALAÇÃO. AF_10/2020 </t>
  </si>
  <si>
    <t xml:space="preserve">DISJUNTOR TRIPOLAR TIPO DIN, CORRENTE NOMINAL DE 16A - FORNECIMENTO E INSTALAÇÃO. AF_10/2020 </t>
  </si>
  <si>
    <t xml:space="preserve">DISJUNTOR TRIPOLAR TIPO DIN, CORRENTE NOMINAL DE 20A - FORNECIMENTO E INSTALAÇÃO. AF_10/2020 </t>
  </si>
  <si>
    <t xml:space="preserve">DISJUNTOR TRIPOLAR TIPO DIN, CORRENTE NOMINAL DE 25A - FORNECIMENTO E INSTALAÇÃO. AF_10/2020 </t>
  </si>
  <si>
    <t xml:space="preserve">DISJUNTOR TRIPOLAR TIPO DIN, CORRENTE NOMINAL DE 32A - FORNECIMENTO E INSTALAÇÃO. AF_10/2020 </t>
  </si>
  <si>
    <t xml:space="preserve">DISJUNTOR TRIPOLAR TIPO DIN, CORRENTE NOMINAL DE 40A - FORNECIMENTO E INSTALAÇÃO. AF_10/2020 </t>
  </si>
  <si>
    <t xml:space="preserve">DISJUNTOR TRIPOLAR TIPO DIN, CORRENTE NOMINAL DE 50A - FORNECIMENTO E INSTALAÇÃO. AF_10/2020 </t>
  </si>
  <si>
    <t>DISJUNTOR TRIPOLAR TIPO DIN, CORRENTE NOMINAL DE 63A - FORNECIMENTO E INSTALAÇÃO. (ADAPTADO DE SINAPI 93673)</t>
  </si>
  <si>
    <t>DISJUNTOR TRIPOLAR 70A</t>
  </si>
  <si>
    <t>DISJUNTOR TRIPOLAR 80A</t>
  </si>
  <si>
    <t>064329</t>
  </si>
  <si>
    <t>064410</t>
  </si>
  <si>
    <t>DISJUNTOR CAIXA MOLDADA TRIPOLAR 630A</t>
  </si>
  <si>
    <t>065455</t>
  </si>
  <si>
    <t xml:space="preserve">DISJUNTOR MONOPOLAR TIPO DIN, CORRENTE NOMINAL DE 16A - FORNECIMENTO E INSTALAÇÃO. AF_10/2020 </t>
  </si>
  <si>
    <t xml:space="preserve">DISJUNTOR MONOPOLAR TIPO DIN, CORRENTE NOMINAL DE 10A - FORNECIMENTO E INSTALAÇÃO. AF_10/2020 </t>
  </si>
  <si>
    <t xml:space="preserve">DISJUNTOR MONOPOLAR TIPO DIN, CORRENTE NOMINAL DE 20A - FORNECIMENTO E INSTALAÇÃO. AF_10/2020 </t>
  </si>
  <si>
    <t xml:space="preserve">DISJUNTOR MONOPOLAR TIPO DIN, CORRENTE NOMINAL DE 25A - FORNECIMENTO E INSTALAÇÃO. AF_10/2020 </t>
  </si>
  <si>
    <t xml:space="preserve">INTERRUPTOR DIFERENCIAL RESIDUAL DR-25A </t>
  </si>
  <si>
    <t>061610</t>
  </si>
  <si>
    <t>COMP-0486</t>
  </si>
  <si>
    <t>DISJUNTOR TRIPOLAR TIPO DIN, CORRENTE NOMINAL DE 160A - FORNECIMENTO E INSTALAÇÃO. (ADAPTADO DE SINAPI 101896)</t>
  </si>
  <si>
    <t>DISPOSITIVO PROTETOR DE SURTO, 45 KA, MONOFÁSICO. (ADAPTADO DE SBC 064563)</t>
  </si>
  <si>
    <t>COMP-2821</t>
  </si>
  <si>
    <t xml:space="preserve">DISPOSITIVO PROTETOR DE SURTO, 20 KA, MONOFÁSICO. (ADAPTADO DE SBC 064563)
</t>
  </si>
  <si>
    <t>COMP-2820</t>
  </si>
  <si>
    <t>COMP-2822</t>
  </si>
  <si>
    <t>DISPOSITIVO PROTETOR DE SURTO, 60 KA, MONOFÁSICO. (ADAPTADO DE SBC 064563)</t>
  </si>
  <si>
    <t>TOMADAS E INTERRUPTORES</t>
  </si>
  <si>
    <t>CURVA HORIZONTAL / VERTICAL PARA PERFILADO 38X38 MM. (ADAPTADO DE SBC 063451)</t>
  </si>
  <si>
    <t>COMP-2823</t>
  </si>
  <si>
    <t>COMP-2824</t>
  </si>
  <si>
    <t>TALA PLANA PARA PERFILADO 38X38 MM. (ADAPTADO DE ORSE 9531)</t>
  </si>
  <si>
    <t>TAMPA PARA PERFILADO 38X38 MM. (ADAPTADO DE ORSE 9527)</t>
  </si>
  <si>
    <t>COMP-2825</t>
  </si>
  <si>
    <t xml:space="preserve">CONDULETE DE PVC, TIPO X, PARA ELETRODUTO DE PVC SOLDÁVEL DN 25 MM (3/4''), APARENTE - FORNECIMENTO E INSTALAÇÃO. AF_11/2016 </t>
  </si>
  <si>
    <t xml:space="preserve">LUVA PARA ELETRODUTO, PVC, ROSCÁVEL, DN 110 MM (4") - FORNECIMENTO E INSTALAÇÃO. AF_12/2015 </t>
  </si>
  <si>
    <t>TOMADA PARA CANALETA TIPO DUTOTEC, 2P+T, 10A . (ADAPTADO DE SBC 059503)</t>
  </si>
  <si>
    <t>COMP-2712</t>
  </si>
  <si>
    <t>QUADRO DE DISTRIBUIÇÃO EM PVC PARA 64 DISJUNTORES. (ADAPTADO DE SBC 064534)</t>
  </si>
  <si>
    <t>COMP-2826</t>
  </si>
  <si>
    <t>ARRUELA DE PRESSÃO 1/4". (ADAPTADO DE ORSE 12538)</t>
  </si>
  <si>
    <t>COMP-2827</t>
  </si>
  <si>
    <t>ARRUELA LISA 1/4". (ADAPTADO DE ORSE 12506)</t>
  </si>
  <si>
    <t>COMP-2828</t>
  </si>
  <si>
    <t>ARRUELA LISA 5/16". (ADAPTADO DE ORSE 12540)</t>
  </si>
  <si>
    <t>COMP-2829</t>
  </si>
  <si>
    <t>FORNECIMENTO E INSTALAÇÃO DE BUCHA DE NYLON S10. (ADAPTADO DE ORSE 704)</t>
  </si>
  <si>
    <t>COMP-2830</t>
  </si>
  <si>
    <t>FORNECIMENTO E INSTALAÇÃO DE BUCHA DE NYLON S8. (ADAPTADO DE ORSE 704)</t>
  </si>
  <si>
    <t>COMP-2831</t>
  </si>
  <si>
    <t>COMP-2832</t>
  </si>
  <si>
    <t>COMP-2833</t>
  </si>
  <si>
    <t>FORNECIMENTO E INSTALAÇÃO DE BUCHA DE NYLON S6. (ADAPTADO DE ORSE 704)</t>
  </si>
  <si>
    <t>FORNECIMENTO E INSTALAÇÃO DE BUCHA DE NYLON S4. (ADAPTADO DE ORSE 704)</t>
  </si>
  <si>
    <t>VERGALHAO ACO GALV C/OM ROSCA TOTAL PARA PERFILADO 1/4""</t>
  </si>
  <si>
    <t>062690</t>
  </si>
  <si>
    <t>PARAFUSO AUTO-ATARRAXANTE 4,2X32 MM. (ADAPTADO DE ORSE 11039)</t>
  </si>
  <si>
    <t>COMP-2834</t>
  </si>
  <si>
    <t>COMP-2835</t>
  </si>
  <si>
    <t>COMP-2836</t>
  </si>
  <si>
    <t>PARAFUSO AUTO-ATARRAXANTE 6,3X50 MM. (ADAPTADO DE ORSE 11039)</t>
  </si>
  <si>
    <t>PARAFUSO AUTO-ATARRAXANTE 3,5X25 MM. (ADAPTADO DE ORSE 11039)</t>
  </si>
  <si>
    <t>PARAFUSO SEXTAVADO ROSCA SOBERBA 5/16" X 2". (ADAPTADO DE ORSE 11039)</t>
  </si>
  <si>
    <t>COMP-2837</t>
  </si>
  <si>
    <t>COMP-2838</t>
  </si>
  <si>
    <t>PARAFUSO LENTILHA ROSCA TOTAL 1/4" X 5/8". (ADAPTADO DE ORSE 11039)</t>
  </si>
  <si>
    <t>PORCA SEXTAVADA 1/4". (ADAPTADO DE ORSE 9832)</t>
  </si>
  <si>
    <t>COMP-2839</t>
  </si>
  <si>
    <t>PARAFUSO SEXTAVADO ROSCA SOBERBA 1/4" X 1.3/4". (ADAPTADO DE ORSE 11039)</t>
  </si>
  <si>
    <t>COMP-2840</t>
  </si>
  <si>
    <t xml:space="preserve">INTERRUPTOR SIMPLES (3 MÓDULOS), 10A/250V, INCLUINDO SUPORTE E PLACA - FORNECIMENTO E INSTALAÇÃO. AF_12/2015 </t>
  </si>
  <si>
    <t xml:space="preserve">INTERRUPTOR PARALELO (1 MÓDULO), 10A/250V, INCLUINDO SUPORTE E PLACA - FORNECIMENTO E INSTALAÇÃO. AF_12/2015 </t>
  </si>
  <si>
    <t xml:space="preserve">INTERRUPTOR PARALELO (3 MÓDULOS), 10A/250V, INCLUINDO SUPORTE E PLACA - FORNECIMENTO E INSTALAÇÃO. AF_12/2015 </t>
  </si>
  <si>
    <t xml:space="preserve">ELETROCALHA PERFURADA TIPO ""U"" 100x100 CHAPA 22 SEM TAMPA </t>
  </si>
  <si>
    <t>059414</t>
  </si>
  <si>
    <t xml:space="preserve">ELETROCALHA PERFURADA TIPO ""U"" 100X50 CHAPA 20 SEM TAMPA </t>
  </si>
  <si>
    <t>060107</t>
  </si>
  <si>
    <t xml:space="preserve">SUPORTE SUSPENSAO VERTICAL PARA ELETROCALHA 100 x 50 mm </t>
  </si>
  <si>
    <t>063067</t>
  </si>
  <si>
    <t>COMP-2841</t>
  </si>
  <si>
    <t>SUPORTE SUSPENSAO VERTICAL PARA ELETROCALHA 100 x 100 mm. (ADAPTADO DE SBC 063067)</t>
  </si>
  <si>
    <t>TALA PLANA PERFURADA 100 MM, PARA ELETROCALHA. (ADAPTADO DE ORSE 9519)</t>
  </si>
  <si>
    <t>COMP-2439</t>
  </si>
  <si>
    <t>COMP-0537</t>
  </si>
  <si>
    <t>TALA PLANA PERFURADA 50 MM, PARA ELETROCALHA. (ADAPTADO DE ORSE 9524)</t>
  </si>
  <si>
    <t>TAMPA DE ENCAIXE PARA ELETROCALHA 100mm (3 METROS). (ADAPTADO DE SBC 063150)</t>
  </si>
  <si>
    <t>COMP-2705</t>
  </si>
  <si>
    <t xml:space="preserve">ELETRODUTO DE AÇO GALVANIZADO, CLASSE LEVE, DN 25 MM (1), APARENTE, INSTALADO EM TETO - FORNECIMENTO E INSTALAÇÃO. AF_11/2016_P P </t>
  </si>
  <si>
    <t xml:space="preserve">ELETRODUTO DE AÇO GALVANIZADO, CLASSE LEVE, DN 20 MM (3/4), APARENTE, INSTALADO EM TETO - FORNECIMENTO E INSTALAÇÃO. AF_11/2016_P </t>
  </si>
  <si>
    <t xml:space="preserve">ELETRODUTO DE AÇO GALVANIZADO, CLASSE SEMI PESADO, DN 40 MM (1 1/2 ), APARENTE, INSTALADO EM TETO - FORNECIMENTO E INSTALAÇÃO. AF_11/2016_P </t>
  </si>
  <si>
    <t xml:space="preserve">ELETRODUTO FERRO GALVANIZADO 2"" </t>
  </si>
  <si>
    <t>068207</t>
  </si>
  <si>
    <t>ELETRODUTO FERRO GALVANIZADO 4". (ADAPTADO DE SBC 059030)</t>
  </si>
  <si>
    <t>COMP-2842</t>
  </si>
  <si>
    <t>ABRAÇADEIRA METÁLICA, TIPO "D", DIÂM.: 4". (ADAPTADO DE ORSE 8441)</t>
  </si>
  <si>
    <t>COMP-2843</t>
  </si>
  <si>
    <t xml:space="preserve">ELETRODUTO RÍGIDO ROSCÁVEL, PVC, DN 110 MM (4") - FORNECIMENTO E INSTALAÇÃO. AF_12/2015 </t>
  </si>
  <si>
    <t>GANCHO CURTO PARA PERFILADO. (ADAPTADO DE ORSE 9526)</t>
  </si>
  <si>
    <t>COMP-2844</t>
  </si>
  <si>
    <t>CANALETA DE ALUMÍNIO DUTOTEC, 25 MM. (ADAPTADO DE SBC 059124)</t>
  </si>
  <si>
    <t>COMP-2845</t>
  </si>
  <si>
    <t>LUMINÁRIA DE EMBUTIR PARA LÂMPADA DE LED 2X18W, COMP.: 120 CM. (ADAPTADO DE SINAPI 97587)</t>
  </si>
  <si>
    <t>LÂMPADA LED BULBO, 12 W, BASE E27. (ADAPTADO DE SBC 060140)</t>
  </si>
  <si>
    <t>COMP-2846</t>
  </si>
  <si>
    <t xml:space="preserve">CAIXA ENTERRADA ELÉTRICA RETANGULAR, EM ALVENARIA COM TIJOLOS CERÂMICOS MACIÇOS, FUNDO COM BRITA, DIMENSÕES INTERNAS: 0,3X0,3X0,3 M. AF_12/2020 </t>
  </si>
  <si>
    <t xml:space="preserve">TE HORIZONTAL PARA ELETROCALHA PERFURADA 100x50cm </t>
  </si>
  <si>
    <t>062576</t>
  </si>
  <si>
    <t xml:space="preserve">TERMINAL PARA ELETROCALHA 100X50cm </t>
  </si>
  <si>
    <t>062562</t>
  </si>
  <si>
    <t xml:space="preserve">ALÇA PREFORMADA DE DISTRIBUIÇÃO, EM AÇO GALVANIZADO, AWG 1 - FORNECIMENTO E INSTALAÇÃO. AF_07/2020 </t>
  </si>
  <si>
    <t xml:space="preserve">ISOLADOR, TIPO DISCO, PARA TENSÃO 15 KV - FORNECIMENTO E INSTALAÇÃO. AF_07/2020 </t>
  </si>
  <si>
    <t xml:space="preserve">CRUZETA DE CONCRETO PADRAO 1900mm </t>
  </si>
  <si>
    <t>078631</t>
  </si>
  <si>
    <t xml:space="preserve">PARA RAIOS POLIMERICO E LUZ DE SINALIZACAO 12KV,10KA </t>
  </si>
  <si>
    <t>067310</t>
  </si>
  <si>
    <t>TRANSFORMADOR DE DISTRIBUIÇÃO, 15 KV, TRIFÁSICO</t>
  </si>
  <si>
    <t>COMP-2847</t>
  </si>
  <si>
    <t xml:space="preserve">SUPORTE PARA TRANSFORMADOR EM POSTE DE CONCRETO CIRCULAR - FORNECIMENTO E INSTALAÇÃO. AF_12/2020 </t>
  </si>
  <si>
    <t xml:space="preserve">CORDOALHA DE COBRE NU 50 MM², NÃO ENTERRADA, COM ISOLADOR - FORNECIMENTO E INSTALAÇÃO. AF_12/2017 </t>
  </si>
  <si>
    <t>ASSENTAMENTO DE POSTE DE CONCRETO COM COMPRIMENTO NOMINAL DE 11 M, CARGA NOMINAL DE 1000 DAN, ENGASTAMENTO BASE CONCRETADA COM 1 M DE CONCRETO E 0,7 M DE SOLO. (ADAPTADO DE SINAPI 100613)</t>
  </si>
  <si>
    <t>COMP-2848</t>
  </si>
  <si>
    <t xml:space="preserve">CABO ELETRÔNICO CATEGORIA 6, INSTALADO EM EDIFICAÇÃO INSTITUCIONAL - FORNECIMENTO E INSTALAÇÃO. AF_11/2019 </t>
  </si>
  <si>
    <t>CABO DE FIBRA OPTICA 4 FIBRAS - PADRAO MULTIMODO</t>
  </si>
  <si>
    <t>059563</t>
  </si>
  <si>
    <t xml:space="preserve">CONDULETE DE ALUMÍNIO, TIPO LR, PARA ELETRODUTO DE AÇO GALVANIZADO DN 25 MM (1''), APARENTE - FORNECIMENTO E INSTALAÇÃO. AF_11/2016_P </t>
  </si>
  <si>
    <t xml:space="preserve">CONDULETE DE ALUMÍNIO, TIPO T, PARA ELETRODUTO DE AÇO GALVANIZADO DN 25 MM (1''), APARENTE - FORNECIMENTO E INSTALAÇÃO. AF_11/2016_P </t>
  </si>
  <si>
    <t>TOMADA PARA CANALETA TIPO DUTOTEC, RJ45. (ADAPTADO DE SBC 059503)</t>
  </si>
  <si>
    <t>COMP-2849</t>
  </si>
  <si>
    <t xml:space="preserve">TOMADA DE REDE RJ45 - FORNECIMENTO E INSTALAÇÃO. AF_11/2019 </t>
  </si>
  <si>
    <t>TOMADA DE REDE 2 MÓDULOS RJ45 - FORNECIMENTO E INSTALAÇÃO. (ADAPTADO DE SINAPI 98307)</t>
  </si>
  <si>
    <t>COMP-0946</t>
  </si>
  <si>
    <t xml:space="preserve">CAIXA DE PASSAGEM PARA TELEFONE 15X15X10CM (SOBREPOR), FORNECIMENTO E INSTALACAO. AF_11/2019 </t>
  </si>
  <si>
    <t>FORNECIMENTO E INSTALAÇÃO DE RACK 19" X 12U</t>
  </si>
  <si>
    <t>COMP-2850</t>
  </si>
  <si>
    <t xml:space="preserve"> RACK PISO 36U 1000MM 19 PRETO PORTA FRONTAL C/ VISOR ACRIL.</t>
  </si>
  <si>
    <t>068213</t>
  </si>
  <si>
    <t>068550</t>
  </si>
  <si>
    <t xml:space="preserve">RACK 16U 19"" x 675mm COM PORTA DE ACRILICO FUME </t>
  </si>
  <si>
    <t>KIT DE VENTILAÇÃO PARA RACK COM 2 VENTILADORES – PADRÃO 19" - FORNECIMENTO E INSTALAÇÃO</t>
  </si>
  <si>
    <t>COMP-0969</t>
  </si>
  <si>
    <t xml:space="preserve">DISTRIBUIDOR INTERNO OPTICO DIO 24 FIBRAS </t>
  </si>
  <si>
    <t>059251</t>
  </si>
  <si>
    <t xml:space="preserve">GUIA DE CABOS PADRAO 19"" </t>
  </si>
  <si>
    <t>059448</t>
  </si>
  <si>
    <t xml:space="preserve">PATCH PANEL 24 PORTAS, CATEGORIA 6 - FORNECIMENTO E INSTALAÇÃO. AF_11/2019 </t>
  </si>
  <si>
    <t xml:space="preserve">REGUA DE TOMADAS COM 8 TOMADAS </t>
  </si>
  <si>
    <t>059460</t>
  </si>
  <si>
    <t xml:space="preserve">SWITCH 24 PORTAS GERENCIÁVEL POE 10/100/1000. (ADAPTADO DE SBC 059252) </t>
  </si>
  <si>
    <t>COMP-2707</t>
  </si>
  <si>
    <t xml:space="preserve">BANDEJA DESLIZANTE PARA RACK 19"" </t>
  </si>
  <si>
    <t>059426</t>
  </si>
  <si>
    <t>PATCH CORDS RJ-45 / RJ-45, COMP.: 5 M - CATEGORIA 6A (ADAPTADO DE CPOS 69.09.360)</t>
  </si>
  <si>
    <t>COMP-2552</t>
  </si>
  <si>
    <t>PLUGUE RJ45 - CAT 6 - FORNECIMENTO E INSTALAÇÃO. (ADAPTADO DE SBC 061359)</t>
  </si>
  <si>
    <t>COMP-0963</t>
  </si>
  <si>
    <t xml:space="preserve">CRIMPAGEM, CERTIFICACAO E IDENTIFICACAO DOS CABOS UTP </t>
  </si>
  <si>
    <t>059435</t>
  </si>
  <si>
    <t>RECOLOCAÇÃO DE FORRO MINERAL MODULAR (ADAPTADO DE SBC 120715)</t>
  </si>
  <si>
    <t>5.1</t>
  </si>
  <si>
    <t>5.1.1</t>
  </si>
  <si>
    <t>5.1.2</t>
  </si>
  <si>
    <t>5.1.3</t>
  </si>
  <si>
    <t>5.1.4</t>
  </si>
  <si>
    <t>5.1.5</t>
  </si>
  <si>
    <t>5.1.6</t>
  </si>
  <si>
    <t>5.1.7</t>
  </si>
  <si>
    <t>5.1.8</t>
  </si>
  <si>
    <t>5.1.9</t>
  </si>
  <si>
    <t>5.1.10</t>
  </si>
  <si>
    <t>5.2</t>
  </si>
  <si>
    <t>5.2.1</t>
  </si>
  <si>
    <t>5.2.2</t>
  </si>
  <si>
    <t>5.2.3</t>
  </si>
  <si>
    <t>5.2.4</t>
  </si>
  <si>
    <t>5.2.5</t>
  </si>
  <si>
    <t>5.2.6</t>
  </si>
  <si>
    <t>5.2.7</t>
  </si>
  <si>
    <t>5.2.8</t>
  </si>
  <si>
    <t>5.2.9</t>
  </si>
  <si>
    <t>5.3</t>
  </si>
  <si>
    <t>5.3.1</t>
  </si>
  <si>
    <t>5.3.2</t>
  </si>
  <si>
    <t>5.3.3</t>
  </si>
  <si>
    <t>5.3.4</t>
  </si>
  <si>
    <t>5.3.5</t>
  </si>
  <si>
    <t>5.3.6</t>
  </si>
  <si>
    <t>5.3.7</t>
  </si>
  <si>
    <t>5.3.8</t>
  </si>
  <si>
    <t>5.3.9</t>
  </si>
  <si>
    <t>5.3.10</t>
  </si>
  <si>
    <t>5.3.11</t>
  </si>
  <si>
    <t>5.3.12</t>
  </si>
  <si>
    <t>5.3.13</t>
  </si>
  <si>
    <t>5.3.14</t>
  </si>
  <si>
    <t>5.3.15</t>
  </si>
  <si>
    <t>5.3.16</t>
  </si>
  <si>
    <t>5.3.17</t>
  </si>
  <si>
    <t>5.3.18</t>
  </si>
  <si>
    <t>5.3.19</t>
  </si>
  <si>
    <t>5.3.20</t>
  </si>
  <si>
    <t>5.3.21</t>
  </si>
  <si>
    <t>5.4</t>
  </si>
  <si>
    <t>5.4.1</t>
  </si>
  <si>
    <t>5.4.2</t>
  </si>
  <si>
    <t>5.4.3</t>
  </si>
  <si>
    <t>5.4.4</t>
  </si>
  <si>
    <t>5.4.5</t>
  </si>
  <si>
    <t>5.4.6</t>
  </si>
  <si>
    <t>5.4.7</t>
  </si>
  <si>
    <t>5.4.8</t>
  </si>
  <si>
    <t>5.5</t>
  </si>
  <si>
    <t>5.5.1</t>
  </si>
  <si>
    <t>5.5.2</t>
  </si>
  <si>
    <t>6.1</t>
  </si>
  <si>
    <t>6.1.1</t>
  </si>
  <si>
    <t>6.1.2</t>
  </si>
  <si>
    <t>6.1.3</t>
  </si>
  <si>
    <t>6.2</t>
  </si>
  <si>
    <t>6.2.1</t>
  </si>
  <si>
    <t>6.2.2</t>
  </si>
  <si>
    <t>6.3</t>
  </si>
  <si>
    <t>6.3.1</t>
  </si>
  <si>
    <t>6.3.2</t>
  </si>
  <si>
    <t>6.3.3</t>
  </si>
  <si>
    <t>6.3.4</t>
  </si>
  <si>
    <t>6.3.5</t>
  </si>
  <si>
    <t>6.3.6</t>
  </si>
  <si>
    <t>6.3.7</t>
  </si>
  <si>
    <t>6.3.8</t>
  </si>
  <si>
    <t>6.3.9</t>
  </si>
  <si>
    <t>6.3.10</t>
  </si>
  <si>
    <t>6.3.11</t>
  </si>
  <si>
    <t>6.3.12</t>
  </si>
  <si>
    <t>6.3.13</t>
  </si>
  <si>
    <t>6.3.14</t>
  </si>
  <si>
    <t>6.3.15</t>
  </si>
  <si>
    <t>6.3.16</t>
  </si>
  <si>
    <t>6.3.17</t>
  </si>
  <si>
    <t>6.3.18</t>
  </si>
  <si>
    <t>6.3.19</t>
  </si>
  <si>
    <t>6.3.20</t>
  </si>
  <si>
    <t>6.3.21</t>
  </si>
  <si>
    <t>6.3.22</t>
  </si>
  <si>
    <t>6.3.23</t>
  </si>
  <si>
    <t>6.3.24</t>
  </si>
  <si>
    <t>6.3.25</t>
  </si>
  <si>
    <t>6.3.26</t>
  </si>
  <si>
    <t>6.3.27</t>
  </si>
  <si>
    <t>6.3.28</t>
  </si>
  <si>
    <t>6.3.29</t>
  </si>
  <si>
    <t>6.3.30</t>
  </si>
  <si>
    <t>6.3.31</t>
  </si>
  <si>
    <t>6.3.32</t>
  </si>
  <si>
    <t>6.3.33</t>
  </si>
  <si>
    <t>6.3.34</t>
  </si>
  <si>
    <t>6.3.35</t>
  </si>
  <si>
    <t>6.3.36</t>
  </si>
  <si>
    <t>6.3.37</t>
  </si>
  <si>
    <t xml:space="preserve">RACK PISO 44U 1200MM 19 PRETO PORTA FRONTAL COM VISOR DE AC </t>
  </si>
  <si>
    <t>059319</t>
  </si>
  <si>
    <t>6.1.4</t>
  </si>
  <si>
    <t>6.3.38</t>
  </si>
  <si>
    <t>6.3.39</t>
  </si>
  <si>
    <t>6.3.40</t>
  </si>
  <si>
    <t>5.5.3</t>
  </si>
  <si>
    <t>5.5.4</t>
  </si>
  <si>
    <t>5.5.5</t>
  </si>
  <si>
    <t>5.5.6</t>
  </si>
  <si>
    <t>5.5.7</t>
  </si>
  <si>
    <t>5.5.8</t>
  </si>
  <si>
    <t>5.5.9</t>
  </si>
  <si>
    <t>5.5.10</t>
  </si>
  <si>
    <t>5.5.11</t>
  </si>
  <si>
    <t>5.5.12</t>
  </si>
  <si>
    <t>5.5.13</t>
  </si>
  <si>
    <t>5.5.14</t>
  </si>
  <si>
    <t>5.5.15</t>
  </si>
  <si>
    <t>5.5.16</t>
  </si>
  <si>
    <t>5.5.17</t>
  </si>
  <si>
    <t>5.5.18</t>
  </si>
  <si>
    <t>5.5.19</t>
  </si>
  <si>
    <t>5.5.20</t>
  </si>
  <si>
    <t>5.5.21</t>
  </si>
  <si>
    <t>5.5.22</t>
  </si>
  <si>
    <t>5.5.23</t>
  </si>
  <si>
    <t>5.5.24</t>
  </si>
  <si>
    <t>5.5.25</t>
  </si>
  <si>
    <t>5.5.26</t>
  </si>
  <si>
    <t>5.5.27</t>
  </si>
  <si>
    <t>5.5.28</t>
  </si>
  <si>
    <t>5.5.29</t>
  </si>
  <si>
    <t>5.5.30</t>
  </si>
  <si>
    <t>5.5.31</t>
  </si>
  <si>
    <t>5.5.32</t>
  </si>
  <si>
    <t>5.5.33</t>
  </si>
  <si>
    <t>5.5.34</t>
  </si>
  <si>
    <t>5.5.35</t>
  </si>
  <si>
    <t>5.5.36</t>
  </si>
  <si>
    <t>5.5.37</t>
  </si>
  <si>
    <t>5.5.38</t>
  </si>
  <si>
    <t>5.5.39</t>
  </si>
  <si>
    <t>5.5.40</t>
  </si>
  <si>
    <t>5.5.41</t>
  </si>
  <si>
    <t>5.6</t>
  </si>
  <si>
    <t>5.6.1</t>
  </si>
  <si>
    <t>5.6.2</t>
  </si>
  <si>
    <t>COMP-2622</t>
  </si>
  <si>
    <t>RETIRADA FORRO FALSO COM RETIRADA/EMPILHAMENTO MATERIAIS</t>
  </si>
  <si>
    <t>022709</t>
  </si>
  <si>
    <t xml:space="preserve">LOCACAO DE CONTAINER 2,30 X 6,00 M, ALT. 2,50 M, PARA ALMOXARIFADO </t>
  </si>
  <si>
    <t xml:space="preserve">LOCACAO DE CONTAINER 2,30 X 6,00 M, ALT. 2,50 M, COM 1 SANITARIO, PARA ESCRITORIO, COMPLETO, SEM DIVISORIAS INTERNAS </t>
  </si>
  <si>
    <t xml:space="preserve">ENGENHEIRO ELETRICISTA COM ENCARGOS COMPLEMENTARES </t>
  </si>
  <si>
    <t>EQUIPE DE APOIO (1 AJUDANTE)</t>
  </si>
  <si>
    <t>COMP-1256</t>
  </si>
  <si>
    <t>PLACA DE OBRA EM CHAPA DE ACO GALVANIZADO (ADAPTADO DE SINAPI 74209/001)</t>
  </si>
  <si>
    <t xml:space="preserve"> 101404 </t>
  </si>
  <si>
    <t>ENGENHEIRO ELETRICISTA COM ENCARGOS COMPLEMENTARES</t>
  </si>
  <si>
    <t>LOCACAO DE CONTAINER 2,30  X  6,00 M, ALT. 2,50 M, PARA ALMOXARIFADO</t>
  </si>
  <si>
    <t>LOCACAO DE CONTAINER 2,30 X 6,00 M, ALT. 2,50 M, COM 1 SANITARIO, PARA ESCRITORIO, COMPLETO, SEM DIVISORIAS INTERNAS</t>
  </si>
  <si>
    <t xml:space="preserve"> COMP-2499 </t>
  </si>
  <si>
    <t xml:space="preserve"> 022709 </t>
  </si>
  <si>
    <t xml:space="preserve"> COMP-2622 </t>
  </si>
  <si>
    <t xml:space="preserve"> 5.1.2 </t>
  </si>
  <si>
    <t xml:space="preserve"> 068207 </t>
  </si>
  <si>
    <t>ELETRODUTO FERRO GALVANIZADO 2""</t>
  </si>
  <si>
    <t xml:space="preserve"> 5.1.7 </t>
  </si>
  <si>
    <t xml:space="preserve"> 060107 </t>
  </si>
  <si>
    <t>ELETROCALHA PERFURADA TIPO ""U"" 100X50 CHAPA 20 SEM TAMPA</t>
  </si>
  <si>
    <t xml:space="preserve"> 5.2.2 </t>
  </si>
  <si>
    <t xml:space="preserve"> 5.2.5 </t>
  </si>
  <si>
    <t xml:space="preserve"> 93671 </t>
  </si>
  <si>
    <t>DISJUNTOR TRIPOLAR TIPO DIN, CORRENTE NOMINAL DE 32A - FORNECIMENTO E INSTALAÇÃO. AF_10/2020</t>
  </si>
  <si>
    <t xml:space="preserve"> 91967 </t>
  </si>
  <si>
    <t>INTERRUPTOR SIMPLES (3 MÓDULOS), 10A/250V, INCLUINDO SUPORTE E PLACA - FORNECIMENTO E INSTALAÇÃO. AF_12/2015</t>
  </si>
  <si>
    <t xml:space="preserve"> COMP-2823 </t>
  </si>
  <si>
    <t xml:space="preserve"> COMP-2824 </t>
  </si>
  <si>
    <t xml:space="preserve"> COMP-2439 </t>
  </si>
  <si>
    <t>SUPORTE SUSPENSAO VERTICAL PARA ELETROCALHA 100 x 50 mm</t>
  </si>
  <si>
    <t xml:space="preserve"> COMP-2831 </t>
  </si>
  <si>
    <t xml:space="preserve"> COMP-2840 </t>
  </si>
  <si>
    <t xml:space="preserve"> 98297 </t>
  </si>
  <si>
    <t>CABO ELETRÔNICO CATEGORIA 6, INSTALADO EM EDIFICAÇÃO INSTITUCIONAL - FORNECIMENTO E INSTALAÇÃO. AF_11/2019</t>
  </si>
  <si>
    <t xml:space="preserve"> COMP-0946 </t>
  </si>
  <si>
    <t xml:space="preserve"> 059319 </t>
  </si>
  <si>
    <t>RACK PISO 44U 1200MM 19 PRETO PORTA FRONTAL COM VISOR DE AC</t>
  </si>
  <si>
    <t xml:space="preserve"> COMP-0969 </t>
  </si>
  <si>
    <t xml:space="preserve"> 059251 </t>
  </si>
  <si>
    <t>DISTRIBUIDOR INTERNO OPTICO DIO 24 FIBRAS</t>
  </si>
  <si>
    <t xml:space="preserve"> 059448 </t>
  </si>
  <si>
    <t>GUIA DE CABOS PADRAO 19""</t>
  </si>
  <si>
    <t xml:space="preserve"> 98302 </t>
  </si>
  <si>
    <t>PATCH PANEL 24 PORTAS, CATEGORIA 6 - FORNECIMENTO E INSTALAÇÃO. AF_11/2019</t>
  </si>
  <si>
    <t xml:space="preserve"> 059460 </t>
  </si>
  <si>
    <t>REGUA DE TOMADAS COM 8 TOMADAS</t>
  </si>
  <si>
    <t xml:space="preserve"> 059435 </t>
  </si>
  <si>
    <t>CRIMPAGEM, CERTIFICACAO E IDENTIFICACAO DOS CABOS UTP</t>
  </si>
  <si>
    <t>PT</t>
  </si>
  <si>
    <t>ORÇAMENTO SINTÉTICO
DESONERADO</t>
  </si>
  <si>
    <t>TERESINA - PI</t>
  </si>
  <si>
    <t>TRIBUNAL REGIONAL ELEITORAL - PIAUÍ</t>
  </si>
  <si>
    <t>PRAÇA EDGAR NOGUEIRA</t>
  </si>
  <si>
    <t>CABRAL</t>
  </si>
  <si>
    <t>TERESINA</t>
  </si>
  <si>
    <t>PI</t>
  </si>
  <si>
    <t>05 MESES</t>
  </si>
  <si>
    <t>22/11/2021</t>
  </si>
  <si>
    <t xml:space="preserve"> 101318 </t>
  </si>
  <si>
    <t>CURSO DE CAPACITAÇÃO PARA ENGENHEIRO ELETRICISTA (ENCARGOS COMPLEMENTARES) - MENSALISTA</t>
  </si>
  <si>
    <t xml:space="preserve"> 00043498 </t>
  </si>
  <si>
    <t>EPI - FAMILIA ENGENHEIRO CIVIL - MENSALISTA (ENCARGOS COMPLEMENTARES - COLETADO CAIXA)</t>
  </si>
  <si>
    <t xml:space="preserve"> 00043474 </t>
  </si>
  <si>
    <t>FERRAMENTAS - FAMILIA ENGENHEIRO CIVIL - MENSALISTA (ENCARGOS COMPLEMENTARES - COLETADO CAIXA)</t>
  </si>
  <si>
    <t xml:space="preserve"> 00040939 </t>
  </si>
  <si>
    <t>ENGENHEIRO ELETRICISTA (MENSALISTA)</t>
  </si>
  <si>
    <t xml:space="preserve"> 00010775 </t>
  </si>
  <si>
    <t>CONCRETO MAGRO PARA LASTRO, TRAÇO 1:4,5:4,5 (EM MASSA SECA DE CIMENTO/ AREIA MÉDIA/ BRITA 1) - PREPARO MECÂNICO COM BETONEIRA 400 L. AF_05/2021</t>
  </si>
  <si>
    <t xml:space="preserve"> 005026 </t>
  </si>
  <si>
    <t>TRAVESSA CLICADA RF2 C/1250mm BRASGIPS</t>
  </si>
  <si>
    <t xml:space="preserve"> 005034 </t>
  </si>
  <si>
    <t>ARAME/PINO FURADO 1/4"/FINCAPINO C22/PREGO-FORRO STERN</t>
  </si>
  <si>
    <t xml:space="preserve"> 005052 </t>
  </si>
  <si>
    <t>CANTONEIRA DE REFORCO PERFURADA 23 x 23mm 3m</t>
  </si>
  <si>
    <t xml:space="preserve"> 005053 </t>
  </si>
  <si>
    <t>FORRO ARMSTRONG GEORGIAN LAYIN 1,250x0,625mm</t>
  </si>
  <si>
    <t xml:space="preserve"> 062222 </t>
  </si>
  <si>
    <t>PERFIL TRAVESSA CLICADO PARA FORRO REMOVIVEL 24x625mm</t>
  </si>
  <si>
    <t xml:space="preserve"> 004048 </t>
  </si>
  <si>
    <t>ELETRODUTO GALVANIZADO NBR 5597 50mm 2" (4,603kg/m)</t>
  </si>
  <si>
    <t xml:space="preserve"> 000703 </t>
  </si>
  <si>
    <t>ELETROCALHA PERFURADA TIPO "U" 100X100MM CHAPA 22</t>
  </si>
  <si>
    <t xml:space="preserve"> 00001573 </t>
  </si>
  <si>
    <t>TERMINAL A COMPRESSAO EM COBRE ESTANHADO PARA CABO 6 MM2, 1 FURO E 1 COMPRESSAO, PARA PARAFUSO DE FIXACAO M6</t>
  </si>
  <si>
    <t xml:space="preserve"> 003510 </t>
  </si>
  <si>
    <t>PERFILADO - CURVA HORIZONTAL OU VERTICAL 38x38mm</t>
  </si>
  <si>
    <t xml:space="preserve"> 9866 </t>
  </si>
  <si>
    <t>Tala plana perfurada 38mm</t>
  </si>
  <si>
    <t xml:space="preserve"> 9704 </t>
  </si>
  <si>
    <t>Tala plana perfurada 100mm</t>
  </si>
  <si>
    <t xml:space="preserve"> 9705 </t>
  </si>
  <si>
    <t>Tala plana perfurada 50mm</t>
  </si>
  <si>
    <t xml:space="preserve"> 3625 </t>
  </si>
  <si>
    <t>Gancho curto para perfilado, ref. Mopa ou similar</t>
  </si>
  <si>
    <t xml:space="preserve"> 13355 </t>
  </si>
  <si>
    <t>Arruela de pressão 1/4"</t>
  </si>
  <si>
    <t xml:space="preserve"> 8347 </t>
  </si>
  <si>
    <t>Arruela lisa zincada ø 1/4"</t>
  </si>
  <si>
    <t xml:space="preserve"> 00004376 </t>
  </si>
  <si>
    <t>BUCHA DE NYLON SEM ABA S8</t>
  </si>
  <si>
    <t xml:space="preserve"> 00011945 </t>
  </si>
  <si>
    <t>BUCHA DE NYLON SEM ABA S4</t>
  </si>
  <si>
    <t xml:space="preserve"> 9878 </t>
  </si>
  <si>
    <t>Parafuso sextavado bimetálico rosca soberba 1/4" x 45mm</t>
  </si>
  <si>
    <t>Un</t>
  </si>
  <si>
    <t xml:space="preserve"> 00039599 </t>
  </si>
  <si>
    <t>CABO DE PAR TRANCADO UTP, 4 PARES, CATEGORIA 6</t>
  </si>
  <si>
    <t xml:space="preserve"> 007345 </t>
  </si>
  <si>
    <t>RACK PISO 44U 1200mm 19" PRETO PORTA FRONTAL COM VISOR DE ACRILICO</t>
  </si>
  <si>
    <t xml:space="preserve"> 012064 </t>
  </si>
  <si>
    <t>RACK - KIT VENTILACAO COM 2 VENTILADORES PARA RACK PISO/PAREDE</t>
  </si>
  <si>
    <t xml:space="preserve"> 047588 </t>
  </si>
  <si>
    <t>RACK - DISTRIBUIDOR INTERNO OPTICO DIO 24 FIBRAS ODF FULL JZ-1823 APC</t>
  </si>
  <si>
    <t xml:space="preserve"> 041898 </t>
  </si>
  <si>
    <t>RACK - GUIA DE CABOS 1U PADRAO 19"</t>
  </si>
  <si>
    <t xml:space="preserve"> 00039596 </t>
  </si>
  <si>
    <t>PATCH PANEL, 24 PORTAS, CATEGORIA 6, COM RACKS DE 19" E 1 U DE ALTURA</t>
  </si>
  <si>
    <t xml:space="preserve"> 514474 </t>
  </si>
  <si>
    <t>RACK - REGUA 19" DE TOMADAS COM 8 TOMADAS 10A</t>
  </si>
  <si>
    <t xml:space="preserve"> 037487 </t>
  </si>
  <si>
    <t>ACESSORIOS PERFILADOS PERFURADOS</t>
  </si>
  <si>
    <t xml:space="preserve"> 11.12.14 </t>
  </si>
  <si>
    <t>SUDECAP</t>
  </si>
  <si>
    <t>SAIDA LATERAL DUPLA  3/4"</t>
  </si>
  <si>
    <t>CAIXA DE PASSAGEM PVC 4X2" - FORNECIMENTO E INSTALACAO</t>
  </si>
  <si>
    <t xml:space="preserve"> 83388 </t>
  </si>
  <si>
    <t>CAIXA DE PASSAGEM PVC 3" OCTOGONAL</t>
  </si>
  <si>
    <t>CABOS UNIPOLAR</t>
  </si>
  <si>
    <t xml:space="preserve"> ELE-CAB-290 </t>
  </si>
  <si>
    <t>SETOP</t>
  </si>
  <si>
    <t>CABO DE COBRE FLEXÍVEL, CLASSE 5, ISOLAMENTO TIPO EPR/HEPR, NÃO HALOGENADO, ANTICHAMA, TERMOFIXO, UNIPOLAR, SEÇÃO 10 MM2, 90°C, 0,6/1KV</t>
  </si>
  <si>
    <t>m</t>
  </si>
  <si>
    <t xml:space="preserve"> ELE-CAB-295 </t>
  </si>
  <si>
    <t>CABO DE COBRE FLEXÍVEL, CLASSE 5, ISOLAMENTO TIPO EPR/HEPR, NÃO HALOGENADO, ANTICHAMA, TERMOFIXO, UNIPOLAR, SEÇÃO 16 MM2, 90°C, 0,6/1KV</t>
  </si>
  <si>
    <t xml:space="preserve"> ELE-CAB-280 </t>
  </si>
  <si>
    <t>CABO DE COBRE FLEXÍVEL, CLASSE 5, ISOLAMENTO TIPO EPR/HEPR, NÃO HALOGENADO, ANTICHAMA, TERMOFIXO, UNIPOLAR, SEÇÃO 4 MM2, 90°C, 0,6/1KV</t>
  </si>
  <si>
    <t xml:space="preserve"> ELE-CAB-320 </t>
  </si>
  <si>
    <t>CABO DE COBRE FLEXÍVEL, CLASSE 5, ISOLAMENTO TIPO EPR/HEPR, NÃO HALOGENADO, ANTICHAMA, TERMOFIXO, UNIPOLAR, SEÇÃO 95 MM2, 90°C, 0,6/1KV</t>
  </si>
  <si>
    <t xml:space="preserve"> ELE-CAB-235 </t>
  </si>
  <si>
    <t>CABO DE COBRE FLEXÍVEL, CLASSE 5, ISOLAMENTO TIPO LSHF/ATOX, NÃO HALOGENADO, ANTICHAMA, TERMOPLÁSTICO, UNIPOLAR, SEÇÃO 2,5 MM2, 70°C, 450/750V</t>
  </si>
  <si>
    <t>CAIXA DE PASSAGEM E CANALETA DE ALUMINIO</t>
  </si>
  <si>
    <t xml:space="preserve"> COMP-2556 </t>
  </si>
  <si>
    <t>CANALETA DE ALUMÍNIO 150X50 MM (ADAPTADO DE SBC 059124)</t>
  </si>
  <si>
    <t>7.4</t>
  </si>
  <si>
    <t>7.6</t>
  </si>
  <si>
    <t xml:space="preserve"> 92009 </t>
  </si>
  <si>
    <t>TOMADA BAIXA DE EMBUTIR (2 MÓDULOS), 2P+T 20 A, INCLUINDO SUPORTE E PLACA - FORNECIMENTO E INSTALAÇÃO. AF_12/2015</t>
  </si>
  <si>
    <t xml:space="preserve"> 92029 </t>
  </si>
  <si>
    <t>INTERRUPTOR PARALELO (1 MÓDULO) COM 1 TOMADA DE EMBUTIR 2P+T 10 A,  INCLUINDO SUPORTE E PLACA - FORNECIMENTO E INSTALAÇÃO. AF_12/2015</t>
  </si>
  <si>
    <t xml:space="preserve"> 92023 </t>
  </si>
  <si>
    <t>INTERRUPTOR SIMPLES (1 MÓDULO) COM 1 TOMADA DE EMBUTIR 2P+T 10 A,  INCLUINDO SUPORTE E PLACA - FORNECIMENTO E INSTALAÇÃO. AF_12/2015</t>
  </si>
  <si>
    <t xml:space="preserve"> 9517 </t>
  </si>
  <si>
    <t>Placa 4"x2" com furo</t>
  </si>
  <si>
    <t xml:space="preserve"> 072578 </t>
  </si>
  <si>
    <t>AGETOP CIVIL</t>
  </si>
  <si>
    <t>TOMADA HEXAGONAL 2P + T - 10A - 250V</t>
  </si>
  <si>
    <t xml:space="preserve"> 072579 </t>
  </si>
  <si>
    <t>TOMADA HEXAGONAL DUPLA 2P + T - 10A - 250V</t>
  </si>
  <si>
    <t xml:space="preserve"> 072585 </t>
  </si>
  <si>
    <t>TOMADA HEXAGONAL 2P + T - 20A - 250V</t>
  </si>
  <si>
    <t>DISPOSITIVO DE PROTEÇÃO</t>
  </si>
  <si>
    <t>8.1</t>
  </si>
  <si>
    <t>8.2</t>
  </si>
  <si>
    <t>8.3</t>
  </si>
  <si>
    <t>8.4</t>
  </si>
  <si>
    <t>8.5</t>
  </si>
  <si>
    <t>8.6</t>
  </si>
  <si>
    <t>8.7</t>
  </si>
  <si>
    <t>8.8</t>
  </si>
  <si>
    <t xml:space="preserve"> ELE-DIS-035 </t>
  </si>
  <si>
    <t>DISJUNTOR TRIPOLAR TERMOMAGNÉTICO 10KA, DE 10A</t>
  </si>
  <si>
    <t xml:space="preserve"> 064325 </t>
  </si>
  <si>
    <t>DISJUNTOR TRIPOLAR 16A/10KA</t>
  </si>
  <si>
    <t xml:space="preserve"> ELE-DIS-038 </t>
  </si>
  <si>
    <t xml:space="preserve"> ELE-DIS-041 </t>
  </si>
  <si>
    <t>DISJUNTOR TRIPOLAR TERMOMAGNÉTICO 10KA, DE 40A</t>
  </si>
  <si>
    <t xml:space="preserve"> ELE-DIS-042 </t>
  </si>
  <si>
    <t>DISJUNTOR TRIPOLAR TERMOMAGNÉTICO 10KA, DE 50A</t>
  </si>
  <si>
    <t xml:space="preserve"> 37.13.600 </t>
  </si>
  <si>
    <t>Disjuntor termomagnético, unipolar 127/220 V, corrente de 10 A até 30 A</t>
  </si>
  <si>
    <t xml:space="preserve"> COMP-0407 </t>
  </si>
  <si>
    <t>INTERRUPTOR BIPOLAR DR (FASE/NEUTRO) 25 A - In 30mA  - FORNECIMENTO E INSTALAÇÃO. AF_04/2016</t>
  </si>
  <si>
    <t xml:space="preserve"> 071184 </t>
  </si>
  <si>
    <t>DISPOSITIVO DE PROTEÇÃO CONTRA SURTOS (D.P.S.) 275V DE 8 A 40KA</t>
  </si>
  <si>
    <t>9.1</t>
  </si>
  <si>
    <t>9.2</t>
  </si>
  <si>
    <t>9.3</t>
  </si>
  <si>
    <t>9.4</t>
  </si>
  <si>
    <t>9.5</t>
  </si>
  <si>
    <t>9.6</t>
  </si>
  <si>
    <t>9.7</t>
  </si>
  <si>
    <t>9.8</t>
  </si>
  <si>
    <t>9.9</t>
  </si>
  <si>
    <t>9.10</t>
  </si>
  <si>
    <t>9.14</t>
  </si>
  <si>
    <t xml:space="preserve"> SBC ADAPT. 061108 </t>
  </si>
  <si>
    <t>ELETROCALHA PERFURADA TIPO ""U"" 100X100 COM TAMPA</t>
  </si>
  <si>
    <t xml:space="preserve"> 063583 </t>
  </si>
  <si>
    <t xml:space="preserve"> COMP-0778 </t>
  </si>
  <si>
    <t>SUPORTE VERTICAL PARA ELETROCALHA METÁLICA, 100X100 MM</t>
  </si>
  <si>
    <t xml:space="preserve"> COMP-2911 </t>
  </si>
  <si>
    <t>Tala plana perfurada 50mm para eletrocalha metálica (ref.: mopa ou similar) - Rev 01. (ADAPTADO DE ORSE 9524)</t>
  </si>
  <si>
    <t xml:space="preserve"> 9526 </t>
  </si>
  <si>
    <t>Gancho curto para perfilado, ( ref.: Mopa ou similar)</t>
  </si>
  <si>
    <t>ELETRODUTOS</t>
  </si>
  <si>
    <t>10.1</t>
  </si>
  <si>
    <t>10.2</t>
  </si>
  <si>
    <t>10.3</t>
  </si>
  <si>
    <t>10.4</t>
  </si>
  <si>
    <t>10.6</t>
  </si>
  <si>
    <t>10.7</t>
  </si>
  <si>
    <t>10.8</t>
  </si>
  <si>
    <t>10.9</t>
  </si>
  <si>
    <t>10.10</t>
  </si>
  <si>
    <t>ELETRODUTO FLEXÍVEL CORRUGADO REFORÇADO, PVC, DN 32 MM (1"), PARA CIRCUITOS TERMINAIS, INSTALADO EM PAREDE - FORNECIMENTO E INSTALAÇÃO. AF_12/2015</t>
  </si>
  <si>
    <t>ELETRODUTO FLEXÍVEL CORRUGADO REFORÇADO, PVC, DN 25 MM (3/4"), PARA CIRCUITOS TERMINAIS, INSTALADO EM PAREDE - FORNECIMENTO E INSTALAÇÃO. AF_12/2015</t>
  </si>
  <si>
    <t>ELETRODUTO FLEXÍVEL CORRUGADO, PEAD, DN 50 (1 1/2"), PARA REDE ENTERRADA DE DISTRIBUIÇÃO DE ENERGIA ELÉTRICA - FORNECIMENTO E INSTALAÇÃO. AF_12/2021</t>
  </si>
  <si>
    <t>ELETRODUTO FLEXÍVEL CORRUGADO, PEAD, DN 63 (2"), PARA REDE ENTERRADA DE DISTRIBUIÇÃO DE ENERGIA ELÉTRICA - FORNECIMENTO E INSTALAÇÃO. AF_12/2021</t>
  </si>
  <si>
    <t>ELETRODUTO FLEXÍVEL CORRUGADO, PEAD, DN 100 (4"), PARA REDE ENTERRADA DE DISTRIBUIÇÃO DE ENERGIA ELÉTRICA - FORNECIMENTO E INSTALAÇÃO. AF_12/2021</t>
  </si>
  <si>
    <t>Abraçadeira metálica tipo "D" de 4"</t>
  </si>
  <si>
    <t>ELETRODUTO RÍGIDO ROSCÁVEL, PVC, DN 110 MM (4"), PARA REDE ENTERRADA DE DISTRIBUIÇÃO DE ENERGIA ELÉTRICA - FORNECIMENTO E INSTALAÇÃO. AF_12/2021</t>
  </si>
  <si>
    <t xml:space="preserve"> 11819 </t>
  </si>
  <si>
    <t>Abraçadeira metálica tipo "D" de 2"</t>
  </si>
  <si>
    <t xml:space="preserve"> 060140 </t>
  </si>
  <si>
    <t>LAMPADA LED BULBO DIMERIZVEL 10W, BASE E27, BIVOLT, BRANCO</t>
  </si>
  <si>
    <t>AGESUL</t>
  </si>
  <si>
    <t>LUMINARIA TUBULAR LED, REF. CALHA SLIN (2X18W), 3.250LM, 120CM LINEAR, DA RCA OU SIMILAR - FORNECIMENTO E INSTALACAO</t>
  </si>
  <si>
    <t>11.1</t>
  </si>
  <si>
    <t>11.2</t>
  </si>
  <si>
    <t>QUADROS DE DISTRIBUIÇÃO</t>
  </si>
  <si>
    <t xml:space="preserve"> 101879 </t>
  </si>
  <si>
    <t>QUADRO DE DISTRIBUIÇÃO DE ENERGIA EM CHAPA DE AÇO GALVANIZADO, DE EMBUTIR, COM BARRAMENTO TRIFÁSICO, PARA 24 DISJUNTORES DIN 100A - FORNECIMENTO E INSTALAÇÃO. AF_10/2020</t>
  </si>
  <si>
    <t>CABEAMENTO ESTRUTURADO</t>
  </si>
  <si>
    <t>CABEAMENTO</t>
  </si>
  <si>
    <t>12.1</t>
  </si>
  <si>
    <t>12.1.1</t>
  </si>
  <si>
    <t>PERFILADOS</t>
  </si>
  <si>
    <t>12.2</t>
  </si>
  <si>
    <t>12.2.1</t>
  </si>
  <si>
    <t>12.2.2</t>
  </si>
  <si>
    <t>12.2.3</t>
  </si>
  <si>
    <t>12.3</t>
  </si>
  <si>
    <t>ACESSORIOS PARA ELETRODUTOD</t>
  </si>
  <si>
    <t xml:space="preserve"> 12.3.1 </t>
  </si>
  <si>
    <t xml:space="preserve"> 067910 </t>
  </si>
  <si>
    <t>CONDULETE ALUMINIO TIPO LB/LL/LR - 1"" COM TAMPA</t>
  </si>
  <si>
    <t xml:space="preserve"> 058089 </t>
  </si>
  <si>
    <t>CONDULETE ALUMINIO ""T"" 1"" SEM TAMPA</t>
  </si>
  <si>
    <t>ACESSORIOS PARA INSTALAÇÕES</t>
  </si>
  <si>
    <t>12.4</t>
  </si>
  <si>
    <t xml:space="preserve"> 053528 </t>
  </si>
  <si>
    <t>TAMPA CEGA 150mm</t>
  </si>
  <si>
    <t xml:space="preserve"> 059503 </t>
  </si>
  <si>
    <t>TOMADA RJ-45 CAT 5E (MODULO)</t>
  </si>
  <si>
    <t xml:space="preserve"> 12.4.3 </t>
  </si>
  <si>
    <t xml:space="preserve"> 12538 </t>
  </si>
  <si>
    <t xml:space="preserve"> 12.4.4 </t>
  </si>
  <si>
    <t xml:space="preserve"> 9816 </t>
  </si>
  <si>
    <t>Arruela lisa zincada d=1/4"</t>
  </si>
  <si>
    <t xml:space="preserve"> 12.4.5 </t>
  </si>
  <si>
    <t xml:space="preserve"> COMP-2548 </t>
  </si>
  <si>
    <t>BUCHA DE NYLON S-4 (ADAPTADO DE AGETOP 070390)</t>
  </si>
  <si>
    <t xml:space="preserve"> 12.4.6 </t>
  </si>
  <si>
    <t xml:space="preserve"> 12.4.7 </t>
  </si>
  <si>
    <t xml:space="preserve"> SUDECAP.ADAPTADO.11.92.23 </t>
  </si>
  <si>
    <t>PARAFUSO FENDA GALVAN. CAB. PANELA 2,9x25mm AUTOATARRACHANTE</t>
  </si>
  <si>
    <t xml:space="preserve"> 12.4.8 </t>
  </si>
  <si>
    <t xml:space="preserve"> 12.4.9 </t>
  </si>
  <si>
    <t xml:space="preserve"> 071872 </t>
  </si>
  <si>
    <t>PARAFUSO SEXTAVADO  CABEÇA LENTILHA D = 1/4" X 5/8"</t>
  </si>
  <si>
    <t xml:space="preserve"> 12495 </t>
  </si>
  <si>
    <t>Porca sextavada 1/4", bicromatizada</t>
  </si>
  <si>
    <t xml:space="preserve"> 12613 </t>
  </si>
  <si>
    <t>Barra roscada bicromatizada ø 1/4" x 3000mm</t>
  </si>
  <si>
    <t xml:space="preserve"> 12.5.1 </t>
  </si>
  <si>
    <t xml:space="preserve"> 10277 </t>
  </si>
  <si>
    <t>Tampa para canaleta metálica articulada, da Valemam ou similar</t>
  </si>
  <si>
    <t xml:space="preserve"> SBC.ADAPT.059124.1 </t>
  </si>
  <si>
    <t>CANALETA DE ALUMÍNIO, 25 MM.</t>
  </si>
  <si>
    <t>DISPOSITIVOS ELETRICOS</t>
  </si>
  <si>
    <t>12.6</t>
  </si>
  <si>
    <t xml:space="preserve"> 12.6.1 </t>
  </si>
  <si>
    <t>12.7</t>
  </si>
  <si>
    <t>DISPOSITIVO DE CABEAMENTO</t>
  </si>
  <si>
    <t xml:space="preserve"> 12.7.1 </t>
  </si>
  <si>
    <t xml:space="preserve"> 062206 </t>
  </si>
  <si>
    <t>ESPELHO PLASTICO PARA CAIXA 4""x2""</t>
  </si>
  <si>
    <t xml:space="preserve"> 072596 </t>
  </si>
  <si>
    <t>TOMADA LÓGICA RJ-45 CAT. 6 (LINHA X OU EQUIVALENTE)</t>
  </si>
  <si>
    <t xml:space="preserve"> 072425 </t>
  </si>
  <si>
    <t>TAMPA CEGA PLASTICA RETANGULAR 4"X2"</t>
  </si>
  <si>
    <t xml:space="preserve"> 40.04.096 </t>
  </si>
  <si>
    <t>Tomada RJ 45 para rede de dados, com placa</t>
  </si>
  <si>
    <t xml:space="preserve"> 062108 </t>
  </si>
  <si>
    <t>TOMADA COM CAIXA 3 BLOCOS (USB/HDMI/VGA) PARA MESA/MOVEL</t>
  </si>
  <si>
    <t>12.8</t>
  </si>
  <si>
    <t>PERFILADO LISO</t>
  </si>
  <si>
    <t xml:space="preserve"> 12.8.1 </t>
  </si>
  <si>
    <t xml:space="preserve"> 12.8.2 </t>
  </si>
  <si>
    <t xml:space="preserve"> 12.8.3 </t>
  </si>
  <si>
    <t xml:space="preserve"> 12.8.4 </t>
  </si>
  <si>
    <t xml:space="preserve"> 059252 </t>
  </si>
  <si>
    <t>SWITCH WIRED TP - LINK GIGABIT 24 PORTAS TL - SG1024D.</t>
  </si>
  <si>
    <t xml:space="preserve"> COMP-1340 </t>
  </si>
  <si>
    <t>BANDEJA TELESCÓPICA 1U PARA RACK</t>
  </si>
  <si>
    <t xml:space="preserve"> 071886 </t>
  </si>
  <si>
    <t>PATCH CORD COMPRIMENTO DE 2,50 M - CAT.6</t>
  </si>
  <si>
    <t xml:space="preserve"> 69.03.340 </t>
  </si>
  <si>
    <t>Conector RJ-45 fêmea - categoria 6</t>
  </si>
  <si>
    <t xml:space="preserve"> 12791 </t>
  </si>
  <si>
    <t>Fornecimento e instalação de Switch 24 portas Gerenciável POE 10/100 /1000 + 4SFP</t>
  </si>
  <si>
    <t xml:space="preserve"> 66.08.600 </t>
  </si>
  <si>
    <t>Unidade gerenciadora digital de vídeo em rede (NVR) de até 8 câmeras IP, armazenamento de 6 TB, 1 interface de rede Fast Ethernet</t>
  </si>
  <si>
    <t xml:space="preserve"> 059637 </t>
  </si>
  <si>
    <t>RACK DESMONTAVEL 36U x 770mm</t>
  </si>
  <si>
    <t xml:space="preserve"> 12.10.2 </t>
  </si>
  <si>
    <t xml:space="preserve"> 12.10.4 </t>
  </si>
  <si>
    <t xml:space="preserve"> 12.10.5 </t>
  </si>
  <si>
    <t xml:space="preserve"> 12.10.6 </t>
  </si>
  <si>
    <t xml:space="preserve"> 12.10.8 </t>
  </si>
  <si>
    <t xml:space="preserve"> 12.10.9 </t>
  </si>
  <si>
    <t xml:space="preserve"> 12.10.10 </t>
  </si>
  <si>
    <t>12.12</t>
  </si>
  <si>
    <t xml:space="preserve"> 12.12.1 </t>
  </si>
  <si>
    <t xml:space="preserve"> 067207 </t>
  </si>
  <si>
    <t>CAMERA EXTERNA BULLET INFRAVERMELHO MULTI HD 4X1 INTELBRAS</t>
  </si>
  <si>
    <t>SERVIÇOS COMPLEMENTARES</t>
  </si>
  <si>
    <t xml:space="preserve"> 13.1 </t>
  </si>
  <si>
    <t xml:space="preserve"> 210023 </t>
  </si>
  <si>
    <t>LIMPEZA FINAL DE OBRAS</t>
  </si>
  <si>
    <t>Planilha Orçamentária Analítica</t>
  </si>
  <si>
    <t xml:space="preserve"> 100534 </t>
  </si>
  <si>
    <t>TECNICO DE EDIFICACOES COM ENCARGOS COMPLEMENTARES</t>
  </si>
  <si>
    <t xml:space="preserve"> 100536 </t>
  </si>
  <si>
    <t>CURSO DE CAPACITAÇÃO PARA TECNICO DE EDIFICACOES (ENCARGOS COMPLEMENTARES) - MENSALISTA</t>
  </si>
  <si>
    <t xml:space="preserve"> 00043494 </t>
  </si>
  <si>
    <t>EPI - FAMILIA ALMOXARIFE - MENSALISTA (ENCARGOS COMPLEMENTARES - COLETADO CAIXA)</t>
  </si>
  <si>
    <t xml:space="preserve"> 00043470 </t>
  </si>
  <si>
    <t>FERRAMENTAS - FAMILIA ALMOXARIFE - MENSALISTA (ENCARGOS COMPLEMENTARES - COLETADO CAIXA)</t>
  </si>
  <si>
    <t xml:space="preserve"> 00040946 </t>
  </si>
  <si>
    <t>TECNICO DE EDIFICACOES (MENSALISTA)</t>
  </si>
  <si>
    <t>LOCACAO DE CONTAINER 2,30 X 6,00 M, ALT. 2,50 M, PARA ESCRITORIO, SEM DIVISORIAS INTERNAS E SEM SANITARIO (NAO INCLUI MOBILIZACAO/DESMOBILIZACAO)</t>
  </si>
  <si>
    <t>LOCACAO DE CONTAINER 2,30 X 6,00 M, ALT. 2,50 M, COM 1 SANITARIO, PARA ESCRITORIO, COMPLETO, SEM DIVISORIAS INTERNAS (NAO INCLUI MOBILIZACAO/DESMOBILIZACAO)</t>
  </si>
  <si>
    <t>PLACA DE OBRA (PARA CONSTRUCAO CIVIL) EM CHAPA GALVANIZADA *N. 22*, ADESIVADA, DE *2,4 X 1,2* M (SEM POSTES PARA FIXACAO)</t>
  </si>
  <si>
    <t>PERFILADO E ACESSORIO, INCLUSIVE CONEXOES</t>
  </si>
  <si>
    <t xml:space="preserve"> 55.10.10 </t>
  </si>
  <si>
    <t>AUXILIAR BOMBEIRO/ELETRICISTA</t>
  </si>
  <si>
    <t xml:space="preserve"> 55.10.55 </t>
  </si>
  <si>
    <t xml:space="preserve"> 74.05.45 </t>
  </si>
  <si>
    <t>PORCA LOSANGULAR COM PINO 5/16"</t>
  </si>
  <si>
    <t xml:space="preserve"> 74.05.32 </t>
  </si>
  <si>
    <t>PORCA SEXTAVADA 5/16"</t>
  </si>
  <si>
    <t xml:space="preserve"> 74.05.10 </t>
  </si>
  <si>
    <t>SAIDA LATERAL DUPLA DE PERFILADO P/ELETRODUTO 3/4"</t>
  </si>
  <si>
    <t xml:space="preserve"> 74.05.31 </t>
  </si>
  <si>
    <t>ARRUELA LISA 5/16"</t>
  </si>
  <si>
    <t xml:space="preserve"> 00001871 </t>
  </si>
  <si>
    <t>CAIXA OCTOGONAL DE FUNDO MOVEL, EM PVC, DE 3" X 3", PARA ELETRODUTO FLEXIVEL CORRUGADO</t>
  </si>
  <si>
    <t xml:space="preserve"> MAO-AJD-015 </t>
  </si>
  <si>
    <t>AJUDANTE DE ELETRICISTA COM ENCARGOS COMPLEMENTARES</t>
  </si>
  <si>
    <t>hora</t>
  </si>
  <si>
    <t xml:space="preserve"> MAO-OFC-035 </t>
  </si>
  <si>
    <t xml:space="preserve"> MATED- 11800 </t>
  </si>
  <si>
    <t>CABO UNIPOLAR ISOLADO EM POLÍMERO TERMOFIXO, TIPO EPR, NÃO HALOGENADO, 0,6/1KV, 90°C - BAIXA TENSÃO ( ENCORDOAMENTO: CLASSE 5 / SEÇÃO TRANSVERSAL: 10 MM2)</t>
  </si>
  <si>
    <t xml:space="preserve"> MATED- 12522 </t>
  </si>
  <si>
    <t>FITA ISOLANTE ANTI- CHAMA</t>
  </si>
  <si>
    <t xml:space="preserve"> MATED- 11801 </t>
  </si>
  <si>
    <t>CABO UNIPOLAR ISOLADO EM POLÍMERO TERMOFIXO, TIPO EPR, NÃO HALOGENADO, 0,6/1KV, 90°C - BAIXA TENSÃO ( ENCORDOAMENTO: CLASSE 5 / SEÇÃO TRANSVERSAL: 16 MM2)</t>
  </si>
  <si>
    <t xml:space="preserve"> MATED- 11806 </t>
  </si>
  <si>
    <t>CABO UNIPOLAR ISOLADO EM POLÍMERO TERMOPLÁSTICO, TIPO LSHF/ATOX, NÃO HALOGENADO, 450/750V, 70°C - BAIXA TENSÃO ( ENCORDOAMENTO: CLASSE 5 / SEÇÃO TRANSVERSAL: 2,50 MM2)</t>
  </si>
  <si>
    <t xml:space="preserve"> 004109 </t>
  </si>
  <si>
    <t>CANALETA TRIPLA 25mm BRANCO DT1334000 DUTOTEC</t>
  </si>
  <si>
    <t>TOMADAS</t>
  </si>
  <si>
    <t xml:space="preserve"> 92028 </t>
  </si>
  <si>
    <t>INTERRUPTOR PARALELO (1 MÓDULO) COM 1 TOMADA DE EMBUTIR 2P+T 10 A,  SEM SUPORTE E SEM PLACA - FORNECIMENTO E INSTALAÇÃO. AF_12/2015</t>
  </si>
  <si>
    <t>Interligações até Quadro Geral - Eletrodutos e Conexões</t>
  </si>
  <si>
    <t xml:space="preserve"> 10549 </t>
  </si>
  <si>
    <t>Encargos Complementares - Servente</t>
  </si>
  <si>
    <t>Provisórios</t>
  </si>
  <si>
    <t>h</t>
  </si>
  <si>
    <t xml:space="preserve"> 3475 </t>
  </si>
  <si>
    <t xml:space="preserve"> 0008 </t>
  </si>
  <si>
    <t>AJUDANTE</t>
  </si>
  <si>
    <t xml:space="preserve"> 0012 </t>
  </si>
  <si>
    <t xml:space="preserve"> 3949 </t>
  </si>
  <si>
    <t xml:space="preserve"> 8.1 </t>
  </si>
  <si>
    <t xml:space="preserve"> MATED- 12255 </t>
  </si>
  <si>
    <t>DISJUNTOR TRIPOLAR TERMOMAGNÉTICO 10KA, DE 10A A 50A</t>
  </si>
  <si>
    <t xml:space="preserve"> 8.2 </t>
  </si>
  <si>
    <t xml:space="preserve"> 004884 </t>
  </si>
  <si>
    <t>DISJUNTOR TRIPOLAR 16A CURVA C STECK</t>
  </si>
  <si>
    <t xml:space="preserve"> 8.4 </t>
  </si>
  <si>
    <t xml:space="preserve"> 10552 </t>
  </si>
  <si>
    <t>Encargos Complementares - Eletricista</t>
  </si>
  <si>
    <t>ELETRICISTA (HORISTA)</t>
  </si>
  <si>
    <t xml:space="preserve"> B.01.000.010115 </t>
  </si>
  <si>
    <t>Eletricista</t>
  </si>
  <si>
    <t xml:space="preserve"> B.01.000.010116 </t>
  </si>
  <si>
    <t>Ajudante eletricista</t>
  </si>
  <si>
    <t>ELETROCALHA</t>
  </si>
  <si>
    <t xml:space="preserve"> 74.04.03 </t>
  </si>
  <si>
    <t>TAMPA DE ENCAIXE PARA ELETROCALHA 100X100MM</t>
  </si>
  <si>
    <t>ASTU - ASSENTAMENTO DE TUBOS E PECAS</t>
  </si>
  <si>
    <t xml:space="preserve"> 00004330 </t>
  </si>
  <si>
    <t>PORCA ZINCADA, SEXTAVADA, DIAMETRO 5/16"</t>
  </si>
  <si>
    <t xml:space="preserve"> 016206 </t>
  </si>
  <si>
    <t>ARRUELA LATAO 5/16"</t>
  </si>
  <si>
    <t xml:space="preserve"> 3817 </t>
  </si>
  <si>
    <t>CANTONEIRA METALICA 38 X 38 MM ( ZZ ALTA )</t>
  </si>
  <si>
    <t xml:space="preserve"> 00004332 </t>
  </si>
  <si>
    <t>PARAFUSO ZINCADO, SEXTAVADO, COM ROSCA INTEIRA, DIAMETRO 3/8", COMPRIMENTO 2"</t>
  </si>
  <si>
    <t xml:space="preserve"> 00004342 </t>
  </si>
  <si>
    <t>PORCA ZINCADA, SEXTAVADA, DIAMETRO 3/8"</t>
  </si>
  <si>
    <t xml:space="preserve"> 00039207 </t>
  </si>
  <si>
    <t>ARRUELA EM ALUMINIO, COM ROSCA, DE 3/8", PARA ELETRODUTO</t>
  </si>
  <si>
    <t xml:space="preserve"> 3810 </t>
  </si>
  <si>
    <t>VERGALHÃO ROSCA TOTAL D=5/16"</t>
  </si>
  <si>
    <t xml:space="preserve"> 3981 </t>
  </si>
  <si>
    <t>Suporte vertical 150 x 75/100 mm para fixação de eletrocalha metálica (ref.: mopa ou similar)</t>
  </si>
  <si>
    <t xml:space="preserve"> 3638 </t>
  </si>
  <si>
    <t>Suporte vertical  100 x 100 mm  para fixação de eletrocalha metálica ( ref.: Mopa ou similar)</t>
  </si>
  <si>
    <t>Pontos de Suprimento de Energia para Computador</t>
  </si>
  <si>
    <t xml:space="preserve"> 10.1 </t>
  </si>
  <si>
    <t xml:space="preserve"> 10.2 </t>
  </si>
  <si>
    <t xml:space="preserve"> 10.3 </t>
  </si>
  <si>
    <t xml:space="preserve"> 10.4 </t>
  </si>
  <si>
    <t xml:space="preserve"> 10.5 </t>
  </si>
  <si>
    <t>Tubos e Conexões de PVC Rígido Soldável</t>
  </si>
  <si>
    <t xml:space="preserve"> 10554 </t>
  </si>
  <si>
    <t>Encargos Complementares - Encanador</t>
  </si>
  <si>
    <t>ENCANADOR OU BOMBEIRO HIDRAULICO (HORISTA)</t>
  </si>
  <si>
    <t xml:space="preserve"> 10.8 </t>
  </si>
  <si>
    <t xml:space="preserve"> 00039132 </t>
  </si>
  <si>
    <t>ABRACADEIRA EM ACO PARA AMARRACAO DE ELETRODUTOS, TIPO D, COM 2" E CUNHA DE FIXACAO</t>
  </si>
  <si>
    <t xml:space="preserve"> 10.9 </t>
  </si>
  <si>
    <t xml:space="preserve"> 10.10 </t>
  </si>
  <si>
    <t xml:space="preserve"> 049524 </t>
  </si>
  <si>
    <t xml:space="preserve"> 11.1 </t>
  </si>
  <si>
    <t xml:space="preserve"> 87367 </t>
  </si>
  <si>
    <t>ARGAMASSA TRAÇO 1:1:6 (EM VOLUME DE CIMENTO, CAL E AREIA MÉDIA ÚMIDA) PARA EMBOÇO/MASSA ÚNICA/ASSENTAMENTO DE ALVENARIA DE VEDAÇÃO, PREPARO MANUAL. AF_08/2019</t>
  </si>
  <si>
    <t xml:space="preserve"> 00012039 </t>
  </si>
  <si>
    <t>QUADRO DE DISTRIBUICAO COM BARRAMENTO TRIFASICO, DE EMBUTIR, EM CHAPA DE ACO GALVANIZADO, PARA 24 DISJUNTORES DIN, 100 A</t>
  </si>
  <si>
    <t xml:space="preserve"> 11.2 </t>
  </si>
  <si>
    <t xml:space="preserve"> 10550 </t>
  </si>
  <si>
    <t>Encargos Complementares - Pedreiro</t>
  </si>
  <si>
    <t>PEDREIRO (HORISTA)</t>
  </si>
  <si>
    <t xml:space="preserve"> 12.1.1 </t>
  </si>
  <si>
    <t xml:space="preserve"> 031612 </t>
  </si>
  <si>
    <t>CONDULETE ALUMINIO "LB" 1" COM TAMPA</t>
  </si>
  <si>
    <t xml:space="preserve"> 031169 </t>
  </si>
  <si>
    <t>CONDULETE ALUMINIO "T" 1" SEM TAMPA</t>
  </si>
  <si>
    <t xml:space="preserve"> 043712 </t>
  </si>
  <si>
    <t>TAMPA CEGA QUADRADA BRANCA 150mm</t>
  </si>
  <si>
    <t>Interligações até Quadro Geral - Fios e Cabos</t>
  </si>
  <si>
    <t xml:space="preserve"> 95541 </t>
  </si>
  <si>
    <t>FIXAÇÃO UTILIZANDO PARAFUSO E BUCHA DE NYLON, SOMENTE MÃO DE OBRA. AF_10/2016</t>
  </si>
  <si>
    <t xml:space="preserve"> 00040552 </t>
  </si>
  <si>
    <t>PARAFUSO, AUTO ATARRACHANTE, CABECA CHATA, FENDA SIMPLES, 1/4 (6,35 MM) X 25 MM</t>
  </si>
  <si>
    <t>CENTO</t>
  </si>
  <si>
    <t xml:space="preserve"> 3821 </t>
  </si>
  <si>
    <t>PARAFUSO SEXTAVADO CABEÇA LENTILHA D = 1/4" X 5/8"</t>
  </si>
  <si>
    <t>Pontos de Suprimento de Telefone</t>
  </si>
  <si>
    <t xml:space="preserve"> 13323 </t>
  </si>
  <si>
    <t xml:space="preserve"> 13413 </t>
  </si>
  <si>
    <t>Pontos de Suprimento de Lógica</t>
  </si>
  <si>
    <t xml:space="preserve"> 003492 </t>
  </si>
  <si>
    <t>PLACA (ESPELHO) CEGA PARA CAIXA 4"x2" WEG</t>
  </si>
  <si>
    <t xml:space="preserve"> I-0417 </t>
  </si>
  <si>
    <t>BANDEJA TELESCÓPICA 1 U P/ RACK</t>
  </si>
  <si>
    <t xml:space="preserve"> 3910 </t>
  </si>
  <si>
    <t xml:space="preserve">PATCH CORD COMPRIMENTO DE 2,5 m - CAT.6 </t>
  </si>
  <si>
    <t xml:space="preserve"> P.13.000.050036 </t>
  </si>
  <si>
    <t>Conector RJ-45, fêmea, categoria 6, ref. 50491 fabricação Policom, 6150 47 Pial Plus fabricação Legrand, ou equivalente</t>
  </si>
  <si>
    <t>SUBSTITUIÇÃO DE INSTALAÇÕES ELÉTRICAS E CABEAMENTO ESTRUTURADO - EDIFÍCIO ANEXO</t>
  </si>
  <si>
    <t xml:space="preserve"> 5.2.2</t>
  </si>
  <si>
    <t xml:space="preserve"> 5.2.3</t>
  </si>
  <si>
    <t xml:space="preserve"> 5.2.4</t>
  </si>
  <si>
    <t xml:space="preserve"> 12.3.2</t>
  </si>
  <si>
    <t>RACK 44 U - 1 UNIDADE</t>
  </si>
  <si>
    <t>RACK 32U - 5 UNIDADES</t>
  </si>
  <si>
    <t xml:space="preserve"> 11.11.25 </t>
  </si>
  <si>
    <t>CURVA HORIZ. 90° C/ TAMPA P/ ELETROCALHA  400X100 MM</t>
  </si>
  <si>
    <t xml:space="preserve"> 059412 </t>
  </si>
  <si>
    <t>CURVA DE INVERSAO PARA ELETROCALHA 100X100MM CHAPA 20</t>
  </si>
  <si>
    <t xml:space="preserve"> COMP-0538 </t>
  </si>
  <si>
    <t>TÊ RETO 90º 100x100mm CHAPA 18 C/TAMPA, PARA ELETROCALHA - FORNECIMENTO E INSTALAÇÃO</t>
  </si>
  <si>
    <t xml:space="preserve"> 12525 </t>
  </si>
  <si>
    <t>Tampa de encaixe para curva de inversão, 100mm, zincada, para eletrocalha metálica</t>
  </si>
  <si>
    <t xml:space="preserve"> 38.22.620 </t>
  </si>
  <si>
    <t>Tampa de encaixe para eletrocalha, galvanizada a fogo, L= 100mm</t>
  </si>
  <si>
    <t xml:space="preserve"> 11.11.62 </t>
  </si>
  <si>
    <t>TERMINAL PARA ELETROCALHA  100X100 MM</t>
  </si>
  <si>
    <t>ELETROCALHA LISA TIPO U</t>
  </si>
  <si>
    <t xml:space="preserve"> 5.1.2</t>
  </si>
  <si>
    <t xml:space="preserve"> 5.1.3</t>
  </si>
  <si>
    <t xml:space="preserve"> 5.1.4</t>
  </si>
  <si>
    <t xml:space="preserve"> 5.1.5</t>
  </si>
  <si>
    <t xml:space="preserve"> 5.1.6</t>
  </si>
  <si>
    <t xml:space="preserve"> 5.1.7</t>
  </si>
  <si>
    <t xml:space="preserve"> 5.1.8</t>
  </si>
  <si>
    <t xml:space="preserve"> 5.1.9</t>
  </si>
  <si>
    <t>Tampa de encaixe 38mm para perfilado</t>
  </si>
  <si>
    <t>Terminal 38 x 38 mm para eletrocalha metalica</t>
  </si>
  <si>
    <t xml:space="preserve"> 062564 </t>
  </si>
  <si>
    <t>CAIXA TOMADA ABS 8 BLOCOS P/ MESA REUNIAO 116X115X265MM</t>
  </si>
  <si>
    <t xml:space="preserve"> 09.05.094 </t>
  </si>
  <si>
    <t>FDE</t>
  </si>
  <si>
    <t>INTERRUPTOR AUTOMATICO DIFERENCIAL (DISPOSITIVO DR) 40A/300 mA</t>
  </si>
  <si>
    <t>9.11</t>
  </si>
  <si>
    <t>9.12</t>
  </si>
  <si>
    <t>9.13</t>
  </si>
  <si>
    <t>9.15</t>
  </si>
  <si>
    <t>9.16</t>
  </si>
  <si>
    <t>9.17</t>
  </si>
  <si>
    <t>9.19</t>
  </si>
  <si>
    <t>9.20</t>
  </si>
  <si>
    <t>9.21</t>
  </si>
  <si>
    <t xml:space="preserve"> 062571 </t>
  </si>
  <si>
    <t>SAIDA PARA ELETRODUTO MG2982 HORIZONTAL</t>
  </si>
  <si>
    <t xml:space="preserve"> SBC.ADAPT.063052.1 </t>
  </si>
  <si>
    <t>CURVA HORIZONTAL 45 GRAUS PARA ELETROCALHA 100X100mm</t>
  </si>
  <si>
    <t xml:space="preserve"> SBC.ADAPT.063052 </t>
  </si>
  <si>
    <t>CURVA HORIZONTAL 45 GRAUS PARA ELETROCALHA 100X50mm</t>
  </si>
  <si>
    <t xml:space="preserve"> 8688 </t>
  </si>
  <si>
    <t>Curva horizontal 100 x 100 mm para eletrocalha metálica, com ângulo 90° (ref.: mopa ou similar)</t>
  </si>
  <si>
    <t xml:space="preserve"> COMP-2438 </t>
  </si>
  <si>
    <t>TE HORIZONTAL PARA ELETROCALHA 100x100 MM</t>
  </si>
  <si>
    <t xml:space="preserve"> 062576 </t>
  </si>
  <si>
    <t>TE HORIZONTAL PARA ELETROCALHA PERFURADA 100x50cm</t>
  </si>
  <si>
    <t xml:space="preserve"> 12616 </t>
  </si>
  <si>
    <t>Tampa de encaixe para curva horizontal 100 x 100 mm, lisa, zincada, com ângulo 90° (ref.: mopa ou similar)</t>
  </si>
  <si>
    <t xml:space="preserve"> 38.22.610 </t>
  </si>
  <si>
    <t>Tampa de encaixe para eletrocalha, galvanizada a fogo, L= 50mm</t>
  </si>
  <si>
    <t xml:space="preserve"> 062562 </t>
  </si>
  <si>
    <t>TERMINAL PARA ELETROCALHA 100X50cm</t>
  </si>
  <si>
    <t xml:space="preserve"> 38.21.310 </t>
  </si>
  <si>
    <t>Eletrocalha lisa galvanizada a fogo, 100 x 100 mm, com acessórios</t>
  </si>
  <si>
    <t xml:space="preserve"> 120066 </t>
  </si>
  <si>
    <t>ARREMATE PERFIL ALUMINIO ANODIZADO NATURAL</t>
  </si>
  <si>
    <t xml:space="preserve"> 38.16.160 </t>
  </si>
  <si>
    <t>Curva vertical dupla de 90°, interna ou externa e tampa com pintura eletrostática</t>
  </si>
  <si>
    <t xml:space="preserve"> SETOP ADAPT. CAB-RACK-025 </t>
  </si>
  <si>
    <t>PAINEL DE FECHAMENTO DE 1U PARA RACK 19"</t>
  </si>
  <si>
    <t xml:space="preserve"> 69.05.010 </t>
  </si>
  <si>
    <t>Estabilizador eletrônico de tensão, monofásico, com potência de 5 kVA</t>
  </si>
  <si>
    <t xml:space="preserve"> FDE.ADAPT.09.80.078 </t>
  </si>
  <si>
    <t xml:space="preserve"> SBC.ADAPT.06512 </t>
  </si>
  <si>
    <t>Nobreak de rack 1500VA</t>
  </si>
  <si>
    <t>INTERRUPTOR SIMPLES (1 MÓDULO), 10A/250V, INCLUINDO SUPORTE E PLACA - FORNECIMENTO E INSTALAÇÃO. AF_12/2015</t>
  </si>
  <si>
    <t>VALOR UNITÁRIO COM BDI</t>
  </si>
  <si>
    <t>Composições Principais</t>
  </si>
  <si>
    <t xml:space="preserve"> 2.6 </t>
  </si>
  <si>
    <t xml:space="preserve"> COMP-0003 </t>
  </si>
  <si>
    <t>ANOTAÇÃO DE RESPONSABILIDADE TÉCNICA (ART)</t>
  </si>
  <si>
    <t xml:space="preserve"> I-00047 </t>
  </si>
  <si>
    <t>Taxas</t>
  </si>
  <si>
    <t>DEMOLICOES</t>
  </si>
  <si>
    <t>LIMPEZA</t>
  </si>
  <si>
    <t>INSTALACOES ELETRICAS - LUMINARIAS</t>
  </si>
  <si>
    <t>INSTALACOES ELETRICAS - QUADROS</t>
  </si>
  <si>
    <t>INSTALACOES ELETRICAS - LEITOS E CABOS</t>
  </si>
  <si>
    <t>INSTALACOES ELETRICAS - SONORIZACAO</t>
  </si>
  <si>
    <t>INSTALACOES DE TELEFONE-LOGICA-CFTV-CATV</t>
  </si>
  <si>
    <t>INSTALACOES ELETRICAS - SINALIZACAO</t>
  </si>
  <si>
    <t>INSTALACOES ELETRICAS - DETECCAO DE INCENDIO</t>
  </si>
  <si>
    <t>INSTALACOES HIDRAULICAS - ESGOTO</t>
  </si>
  <si>
    <t>INSTALACOES ELETRICAS - DUTOS E TOMADAS</t>
  </si>
  <si>
    <t xml:space="preserve"> 74.04.45 </t>
  </si>
  <si>
    <t>CURVA HORIZONTAL 90° GALV. P/ ELETROC. 400X100 MM</t>
  </si>
  <si>
    <t xml:space="preserve"> 74.04.16 </t>
  </si>
  <si>
    <t>TAMPA P/ CURVA HORIZONTAL 90° P/ ELETROC. 400X100MM</t>
  </si>
  <si>
    <t xml:space="preserve"> 74.05.30 </t>
  </si>
  <si>
    <t>PARAFUSO CABEÇA LENTILHA AUTOTRAVANTE 5/16"X1/2"</t>
  </si>
  <si>
    <t xml:space="preserve"> I-00085 </t>
  </si>
  <si>
    <t xml:space="preserve">TÊ RETO 90º 100x100mm CHAPA 18 C/TAMPA	</t>
  </si>
  <si>
    <t xml:space="preserve"> 13343 </t>
  </si>
  <si>
    <t>Tampa de encaixe para curva de inversão, 100mm, zincada, para eletrocalha metálica (ref. mopa ou similar)</t>
  </si>
  <si>
    <t xml:space="preserve"> P.04.000.062171 </t>
  </si>
  <si>
    <t>Tampa encaixe para eletrocalha galvanizada a fogo, L= 100mm</t>
  </si>
  <si>
    <t xml:space="preserve"> 74.04.77 </t>
  </si>
  <si>
    <t>TERMINAL PARA ELETROCALHA GALV. 100X10 0MM</t>
  </si>
  <si>
    <t xml:space="preserve"> 9988 </t>
  </si>
  <si>
    <t xml:space="preserve"> 10403 </t>
  </si>
  <si>
    <t>Terminal 38 x 38 mm para eletrocalha perfurada metalica</t>
  </si>
  <si>
    <t>REVESTIMENTOS INTERNOS</t>
  </si>
  <si>
    <t>CAB</t>
  </si>
  <si>
    <t xml:space="preserve"> MATED- 12111 </t>
  </si>
  <si>
    <t>TAMPA CEGA DE 1U PARA RACK 19"</t>
  </si>
  <si>
    <t xml:space="preserve"> I-2243 </t>
  </si>
  <si>
    <t>PAINEL DE FECHAMENTO RETO RACK 1U 19''</t>
  </si>
  <si>
    <t xml:space="preserve"> I-OBSERVAÇÃO.FDE.ADAPT.09.80.078 </t>
  </si>
  <si>
    <t>Banco de capacitores automático (com proteção, comando e capacitores) - 50KVAR</t>
  </si>
  <si>
    <t xml:space="preserve"> I9904 </t>
  </si>
  <si>
    <t>SEINFRA</t>
  </si>
  <si>
    <t>NOBREAK 700VA 220V</t>
  </si>
  <si>
    <t>CHOR - CUSTOS HORÁRIOS DE MÁQUINAS E EQUIPAMENTOS</t>
  </si>
  <si>
    <t>CHP</t>
  </si>
  <si>
    <t>CHI</t>
  </si>
  <si>
    <t xml:space="preserve"> 2.6</t>
  </si>
  <si>
    <t xml:space="preserve"> 3.3</t>
  </si>
  <si>
    <t xml:space="preserve"> 97665 </t>
  </si>
  <si>
    <t>REMOÇÃO DE LUMINÁRIAS, DE FORMA MANUAL, SEM REAPROVEITAMENTO. AF_12/2017</t>
  </si>
  <si>
    <t xml:space="preserve"> 3.4</t>
  </si>
  <si>
    <t xml:space="preserve"> 04.20.040 </t>
  </si>
  <si>
    <t>REMOÇÃO DE LÂMPADA</t>
  </si>
  <si>
    <t xml:space="preserve"> 3.5</t>
  </si>
  <si>
    <t xml:space="preserve"> 97660 </t>
  </si>
  <si>
    <t>REMOÇÃO DE INTERRUPTORES/TOMADAS ELÉTRICAS, DE FORMA MANUAL, SEM REAPROVEITAMENTO. AF_12/2017</t>
  </si>
  <si>
    <t xml:space="preserve"> 3.6</t>
  </si>
  <si>
    <t xml:space="preserve"> 3.7</t>
  </si>
  <si>
    <t xml:space="preserve"> 7224 </t>
  </si>
  <si>
    <t>REMOÇÃO DE QUADRO ELÉTRICO DE EMBUTIR OU SOBREPOR</t>
  </si>
  <si>
    <t xml:space="preserve"> 3.8</t>
  </si>
  <si>
    <t xml:space="preserve"> 5.2.5</t>
  </si>
  <si>
    <t>SERP - SERVIÇOS PRELIMINARES</t>
  </si>
  <si>
    <t>Remoção de lâmpada</t>
  </si>
  <si>
    <t>Remoção de quadro elétrico de embutir ou sobrepor</t>
  </si>
  <si>
    <t>Demolições / Remoções</t>
  </si>
  <si>
    <t xml:space="preserve"> 047589 </t>
  </si>
  <si>
    <t>RACK - SWITCH WIRED TP - LINK GIGABIT 24 PORTAS TL - SG1024D</t>
  </si>
  <si>
    <t>SIURB</t>
  </si>
  <si>
    <t>Edificações</t>
  </si>
  <si>
    <t xml:space="preserve"> 2044 </t>
  </si>
  <si>
    <t>AJUDANTE DE ELETRICISTA (SGSP)</t>
  </si>
  <si>
    <t xml:space="preserve"> 2041 </t>
  </si>
  <si>
    <t>ELETRICISTA (SGSP)</t>
  </si>
  <si>
    <t>TOMADA HEXAGONAL 2P + T - 10A - 250V - NCLUINDO SUPORTE E PLACA</t>
  </si>
  <si>
    <t>TOMADA HEXAGONAL DUPLA 2P + T - 10A - 250V - NCLUINDO SUPORTE E PLACA</t>
  </si>
  <si>
    <t xml:space="preserve"> FDE.ADAPT.09.80.078.1</t>
  </si>
  <si>
    <t>CANALETA DE ALUMÍNIO 73MMX25MM (ADAPTADO DE SBC 059124)</t>
  </si>
  <si>
    <t xml:space="preserve"> 2450 </t>
  </si>
  <si>
    <t>Limpeza geral</t>
  </si>
  <si>
    <t xml:space="preserve"> SBC.ADAPT.60504 </t>
  </si>
  <si>
    <t>LAMPADA LED BULBO DIMERIZVEL 12W, BASE E27, BIVOLT, BRANCO</t>
  </si>
  <si>
    <t xml:space="preserve"> SINAPI.ADPT.97661 </t>
  </si>
  <si>
    <t>REMOÇÃO DE CABO ELETRICOS E CANALETA DE PVC</t>
  </si>
  <si>
    <t xml:space="preserve"> 90447 </t>
  </si>
  <si>
    <t>RASGO EM ALVENARIA PARA ELETRODUTOS COM DIAMETROS MENORES OU IGUAIS A 40 MM. AF_05/2015</t>
  </si>
  <si>
    <t>7.1</t>
  </si>
  <si>
    <t>7.2</t>
  </si>
  <si>
    <t>7.3</t>
  </si>
  <si>
    <t>7.5</t>
  </si>
  <si>
    <t>9.18</t>
  </si>
  <si>
    <t>ELETRODUTO RÍGIDO ROSCÁVEL, PVC, DN 32 MM (1"), PARA CIRCUITOS TERMINAIS, INSTALADO EM FORRO - FORNECIMENTO E INSTALAÇÃO. AF_12/2015</t>
  </si>
  <si>
    <t>ELETRODUTO RÍGIDO ROSCÁVEL, PVC, DN 25 MM (3/4"), PARA CIRCUITOS TERMINAIS, INSTALADO EM FORRO - FORNECIMENTO E INSTALAÇÃO. AF_12/2015</t>
  </si>
  <si>
    <t>ELETRODUTO RÍGIDO ROSCÁVEL, PVC, DN 50 MM (1 1/2"), PARA REDE ENTERRADA DE DISTRIBUIÇÃO DE ENERGIA ELÉTRICA - FORNECIMENTO E INSTALAÇÃO. AF_12/2021</t>
  </si>
  <si>
    <t>ELETRODUTO RÍGIDO ROSCÁVEL, PVC, DN 60 MM (2"), PARA REDE ENTERRADA DE DISTRIBUIÇÃO DE ENERGIA ELÉTRICA - FORNECIMENTO E INSTALAÇÃO. AF_12/2021</t>
  </si>
  <si>
    <t>10.5</t>
  </si>
  <si>
    <t>LUMINÁRIA COMERCIAL DE EMBUTIR COM DIFUSOR TRANSPARENTE OU FOSCO PARA 2 LÂMPADAS TUBULARES DE LED 18/20W - COMPLETA</t>
  </si>
  <si>
    <t>LÂMPADA TUBULAR LED DE 18/20 W, BASE G13 - FORNECIMENTO E INSTALAÇÃO. AF_02/2020_P</t>
  </si>
  <si>
    <t xml:space="preserve"> 12.4.1</t>
  </si>
  <si>
    <t xml:space="preserve"> 12.4.2</t>
  </si>
  <si>
    <t xml:space="preserve"> 12.4.3</t>
  </si>
  <si>
    <t xml:space="preserve"> 12.4.4</t>
  </si>
  <si>
    <t xml:space="preserve"> 12.4.5</t>
  </si>
  <si>
    <t xml:space="preserve"> 12.4.6</t>
  </si>
  <si>
    <t xml:space="preserve"> 12.4.7</t>
  </si>
  <si>
    <t xml:space="preserve"> 12.4.8</t>
  </si>
  <si>
    <t xml:space="preserve"> 12.4.9</t>
  </si>
  <si>
    <t>12.5</t>
  </si>
  <si>
    <t xml:space="preserve"> 12.5.2</t>
  </si>
  <si>
    <t>12.6.1</t>
  </si>
  <si>
    <t>12.6.2</t>
  </si>
  <si>
    <t>12.6.3</t>
  </si>
  <si>
    <t>12.6.4</t>
  </si>
  <si>
    <t>12.6.5</t>
  </si>
  <si>
    <t>12.6.6</t>
  </si>
  <si>
    <t>12.7.1</t>
  </si>
  <si>
    <t>12.7.2</t>
  </si>
  <si>
    <t>12.7.3</t>
  </si>
  <si>
    <t>12.8.1</t>
  </si>
  <si>
    <t>12.8.2</t>
  </si>
  <si>
    <t>12.8.3</t>
  </si>
  <si>
    <t>12.8.4</t>
  </si>
  <si>
    <t>12.8.5</t>
  </si>
  <si>
    <t>12.8.6</t>
  </si>
  <si>
    <t>12.8.7</t>
  </si>
  <si>
    <t>12.8.8</t>
  </si>
  <si>
    <t>12.8.9</t>
  </si>
  <si>
    <t>12.8.10</t>
  </si>
  <si>
    <t>12.8.11</t>
  </si>
  <si>
    <t>12.8.12</t>
  </si>
  <si>
    <t xml:space="preserve"> 12.9</t>
  </si>
  <si>
    <t>12.10</t>
  </si>
  <si>
    <t>12.9.1</t>
  </si>
  <si>
    <t>12.9.2</t>
  </si>
  <si>
    <t>12.9.3</t>
  </si>
  <si>
    <t>12.9.4</t>
  </si>
  <si>
    <t>12.9.5</t>
  </si>
  <si>
    <t>12.9.6</t>
  </si>
  <si>
    <t>12.9.7</t>
  </si>
  <si>
    <t>12.9.8</t>
  </si>
  <si>
    <t>12.9.9</t>
  </si>
  <si>
    <t>12.9.10</t>
  </si>
  <si>
    <t>12.9.11</t>
  </si>
  <si>
    <t>12.9.12</t>
  </si>
  <si>
    <t>12.10.1</t>
  </si>
  <si>
    <t>12.10.2</t>
  </si>
  <si>
    <t>12.10.3</t>
  </si>
  <si>
    <t>12.10.4</t>
  </si>
  <si>
    <t>12.10.5</t>
  </si>
  <si>
    <t>12.10.6</t>
  </si>
  <si>
    <t>12.10.7</t>
  </si>
  <si>
    <t>12.10.8</t>
  </si>
  <si>
    <t>12.10.9</t>
  </si>
  <si>
    <t>12.10.10</t>
  </si>
  <si>
    <t>Porcent.</t>
  </si>
  <si>
    <t xml:space="preserve"> 3.3 </t>
  </si>
  <si>
    <t xml:space="preserve"> 3.4 </t>
  </si>
  <si>
    <t xml:space="preserve"> 3.5 </t>
  </si>
  <si>
    <t xml:space="preserve"> 3.6 </t>
  </si>
  <si>
    <t xml:space="preserve"> 3.7 </t>
  </si>
  <si>
    <t xml:space="preserve"> 3.8 </t>
  </si>
  <si>
    <t xml:space="preserve"> 88269 </t>
  </si>
  <si>
    <t>GESSEIRO COM ENCARGOS COMPLEMENTARES</t>
  </si>
  <si>
    <t xml:space="preserve"> 4.2 </t>
  </si>
  <si>
    <t xml:space="preserve"> 120108 </t>
  </si>
  <si>
    <t>FORRO - PAINEL WALL 2,50x1,20 40mm ETERNIT</t>
  </si>
  <si>
    <t xml:space="preserve"> 88239 </t>
  </si>
  <si>
    <t>AJUDANTE DE CARPINTEIRO COM ENCARGOS COMPLEMENTARES</t>
  </si>
  <si>
    <t xml:space="preserve"> 028100 </t>
  </si>
  <si>
    <t xml:space="preserve"> 4.3 </t>
  </si>
  <si>
    <t xml:space="preserve"> 10029 </t>
  </si>
  <si>
    <t>Impermeabilização c/ manta asfáltica aluminizada 3mm, estruturada com não-tecido de poliéster, inclusive aplicação de 1 demão de primer</t>
  </si>
  <si>
    <t>Impermeabilização</t>
  </si>
  <si>
    <t xml:space="preserve"> 10601 </t>
  </si>
  <si>
    <t>Encargos Complementares - Impermeabilizador</t>
  </si>
  <si>
    <t xml:space="preserve"> 00012873 </t>
  </si>
  <si>
    <t>IMPERMEABILIZADOR (HORISTA)</t>
  </si>
  <si>
    <t xml:space="preserve"> 00011621 </t>
  </si>
  <si>
    <t>MANTA ASFALTICA ELASTOMERICA EM POLIESTER ALUMINIZADA 3 MM, TIPO III, CLASSE B (NBR 9952)</t>
  </si>
  <si>
    <t xml:space="preserve"> 00000511 </t>
  </si>
  <si>
    <t>PRIMER PARA MANTA ASFALTICA A BASE DE ASFALTO MODIFICADO DILUIDO EM SOLVENTE, APLICACAO A FRIO</t>
  </si>
  <si>
    <t>L</t>
  </si>
  <si>
    <t xml:space="preserve"> 4.4 </t>
  </si>
  <si>
    <t xml:space="preserve"> 96113 </t>
  </si>
  <si>
    <t>FORRO EM PLACAS DE GESSO, PARA AMBIENTES COMERCIAIS. AF_05/2017_P</t>
  </si>
  <si>
    <t>REVE - REVESTIMENTO E TRATAMENTO DE SUPERFÍCIES</t>
  </si>
  <si>
    <t xml:space="preserve"> 00000345 </t>
  </si>
  <si>
    <t>ARAME GALVANIZADO 18 BWG, D = 1,24MM (0,009 KG/M)</t>
  </si>
  <si>
    <t xml:space="preserve"> 00003315 </t>
  </si>
  <si>
    <t>GESSO EM PO PARA REVESTIMENTOS/MOLDURAS/SANCAS E USO GERAL</t>
  </si>
  <si>
    <t xml:space="preserve"> 00040547 </t>
  </si>
  <si>
    <t>PARAFUSO ZINCADO, AUTOBROCANTE, FLANGEADO, 4,2 MM X 19 MM</t>
  </si>
  <si>
    <t xml:space="preserve"> 00004812 </t>
  </si>
  <si>
    <t>PLACA DE GESSO PARA FORRO, *60 X 60* CM, ESPESSURA DE 12 MM (SEM COLOCACAO)</t>
  </si>
  <si>
    <t xml:space="preserve"> 00020250 </t>
  </si>
  <si>
    <t>SISAL EM FIBRA</t>
  </si>
  <si>
    <t xml:space="preserve"> 4.5 </t>
  </si>
  <si>
    <t xml:space="preserve"> 88497 </t>
  </si>
  <si>
    <t>APLICAÇÃO E LIXAMENTO DE MASSA LÁTEX EM PAREDES, DUAS DEMÃOS. AF_06/2014</t>
  </si>
  <si>
    <t>PINT - PINTURAS</t>
  </si>
  <si>
    <t xml:space="preserve"> 88310 </t>
  </si>
  <si>
    <t>PINTOR COM ENCARGOS COMPLEMENTARES</t>
  </si>
  <si>
    <t xml:space="preserve"> 00003767 </t>
  </si>
  <si>
    <t>LIXA EM FOLHA PARA PAREDE OU MADEIRA, NUMERO 120, COR VERMELHA</t>
  </si>
  <si>
    <t xml:space="preserve"> 00043626 </t>
  </si>
  <si>
    <t>MASSA CORRIDA PARA SUPERFICIES DE AMBIENTES INTERNOS</t>
  </si>
  <si>
    <t xml:space="preserve"> 4.6 </t>
  </si>
  <si>
    <t xml:space="preserve"> 88492 </t>
  </si>
  <si>
    <t>APLICAÇÃO MECÂNICA DE PINTURA COM TINTA LÁTEX ACRÍLICA EM TETO, DUAS DEMÃOS. AF_06/2014</t>
  </si>
  <si>
    <t xml:space="preserve"> 95218 </t>
  </si>
  <si>
    <t>PULVERIZADOR DE TINTA ELÉTRICO/MÁQUINA DE PINTURA AIRLESS, VAZÃO 2 L/MIN - CHP DIURNO. AF_08/2016</t>
  </si>
  <si>
    <t xml:space="preserve"> 95219 </t>
  </si>
  <si>
    <t>PULVERIZADOR DE TINTA ELÉTRICO/MÁQUINA DE PINTURA AIRLESS, VAZÃO 2 L/MIN - CHI DIURNO. AF_08/2016</t>
  </si>
  <si>
    <t xml:space="preserve"> 00007356 </t>
  </si>
  <si>
    <t>TINTA LATEX ACRILICA PREMIUM, COR BRANCO FOSCO</t>
  </si>
  <si>
    <t xml:space="preserve"> 91864 </t>
  </si>
  <si>
    <t xml:space="preserve"> 91170 </t>
  </si>
  <si>
    <t>FIXAÇÃO DE TUBOS HORIZONTAIS DE PVC, CPVC OU COBRE DIÂMETROS MENORES OU IGUAIS A 40 MM OU ELETROCALHAS ATÉ 150MM DE LARGURA, COM ABRAÇADEIRA METÁLICA RÍGIDA TIPO D 1/2, FIXADA EM PERFILADO EM LAJE. AF_05/2015</t>
  </si>
  <si>
    <t xml:space="preserve"> 00002685 </t>
  </si>
  <si>
    <t>ELETRODUTO DE PVC RIGIDO ROSCAVEL DE 1 ", SEM LUVA</t>
  </si>
  <si>
    <t xml:space="preserve"> 91863 </t>
  </si>
  <si>
    <t xml:space="preserve"> 00002674 </t>
  </si>
  <si>
    <t>ELETRODUTO DE PVC RIGIDO ROSCAVEL DE 3/4 ", SEM LUVA</t>
  </si>
  <si>
    <t xml:space="preserve"> 93008 </t>
  </si>
  <si>
    <t xml:space="preserve"> 00002680 </t>
  </si>
  <si>
    <t>ELETRODUTO DE PVC RIGIDO ROSCAVEL DE 1 1/2 ", SEM LUVA</t>
  </si>
  <si>
    <t xml:space="preserve"> 93009 </t>
  </si>
  <si>
    <t xml:space="preserve"> 00002681 </t>
  </si>
  <si>
    <t>ELETRODUTO DE PVC RIGIDO ROSCAVEL DE 2 ", SEM LUVA</t>
  </si>
  <si>
    <t xml:space="preserve"> 93012 </t>
  </si>
  <si>
    <t xml:space="preserve"> 00002683 </t>
  </si>
  <si>
    <t>ELETRODUTO DE PVC RIGIDO ROSCAVEL DE 4 ", SEM LUVA</t>
  </si>
  <si>
    <t xml:space="preserve"> 10.6 </t>
  </si>
  <si>
    <t xml:space="preserve"> 10.7 </t>
  </si>
  <si>
    <t>LAMPADA LED BULBO DIMERIZAVEL 10W, BASE E27, BIVOLT, BRANCO</t>
  </si>
  <si>
    <t xml:space="preserve"> 090953 </t>
  </si>
  <si>
    <t xml:space="preserve"> 56492 </t>
  </si>
  <si>
    <t>LAMPADA DE LED TUBULAR 18/20 W</t>
  </si>
  <si>
    <t xml:space="preserve"> 55802 </t>
  </si>
  <si>
    <t>LUMINÁRIA COMERCIAL DE SOBREPOR COM DIFUSOR TRANSPARENTE OU FOSCO 2 LED TUBULAR 9/10 W</t>
  </si>
  <si>
    <t xml:space="preserve"> 59038 </t>
  </si>
  <si>
    <t>SOQUETE PARA LAMPADA TUBULAR</t>
  </si>
  <si>
    <t xml:space="preserve"> 100903 </t>
  </si>
  <si>
    <t xml:space="preserve"> 00039387 </t>
  </si>
  <si>
    <t>LAMPADA LED TUBULAR BIVOLT 18/20 W, BASE G13</t>
  </si>
  <si>
    <t xml:space="preserve"> 00012295 </t>
  </si>
  <si>
    <t>SOQUETE DE BAQUELITE BASE E27, PARA LAMPADAS</t>
  </si>
  <si>
    <t>Banco de capacitores automático (com proteção, comando e capacitores)</t>
  </si>
  <si>
    <t xml:space="preserve"> 12.4.1 </t>
  </si>
  <si>
    <t xml:space="preserve"> 12.4.2 </t>
  </si>
  <si>
    <t xml:space="preserve"> 00039028 </t>
  </si>
  <si>
    <t>PERFILADO PERFURADO SIMPLES 38 X 38 MM, CHAPA 22</t>
  </si>
  <si>
    <t xml:space="preserve"> 12.8.5 </t>
  </si>
  <si>
    <t xml:space="preserve"> 12.8.6 </t>
  </si>
  <si>
    <t xml:space="preserve"> 12.8.7 </t>
  </si>
  <si>
    <t xml:space="preserve"> 12.8.8 </t>
  </si>
  <si>
    <t xml:space="preserve"> 12.8.9 </t>
  </si>
  <si>
    <t xml:space="preserve"> 12.8.10 </t>
  </si>
  <si>
    <t xml:space="preserve"> 12.8.11 </t>
  </si>
  <si>
    <t xml:space="preserve"> 12.8.12 </t>
  </si>
  <si>
    <t xml:space="preserve"> 12.10.7 </t>
  </si>
  <si>
    <t>Limpeza</t>
  </si>
  <si>
    <t xml:space="preserve"> 1997 </t>
  </si>
  <si>
    <t>Sabão em pó</t>
  </si>
  <si>
    <t>kg</t>
  </si>
  <si>
    <t xml:space="preserve"> 2414 </t>
  </si>
  <si>
    <t>Vassoura piaçava</t>
  </si>
  <si>
    <t xml:space="preserve"> 9527 </t>
  </si>
  <si>
    <t xml:space="preserve"> 9860 </t>
  </si>
  <si>
    <t xml:space="preserve"> MATED- 11789 </t>
  </si>
  <si>
    <t>CABO UNIPOLAR ISOLADO EM POLÍMERO TERMOFIXO, TIPO EPR, NÃO HALOGENADO, 0,6/1KV, 90°C - BAIXA TENSÃO ( ENCORDOAMENTO: CLASSE 5 / SEÇÃO TRANSVERSAL: 95 MM2)</t>
  </si>
  <si>
    <t xml:space="preserve"> MATED- 11798 </t>
  </si>
  <si>
    <t>CABO UNIPOLAR ISOLADO EM POLÍMERO TERMOFIXO, TIPO EPR, NÃO HALOGENADO, 0,6/1KV, 90°C - BAIXA TENSÃO ( ENCORDOAMENTO: CLASSE 5 / SEÇÃO TRANSVERSAL: 4 MM2)</t>
  </si>
  <si>
    <t xml:space="preserve"> 6..1 </t>
  </si>
  <si>
    <t xml:space="preserve"> 7.2</t>
  </si>
  <si>
    <t xml:space="preserve"> 7.3</t>
  </si>
  <si>
    <t xml:space="preserve"> 1.01.16 </t>
  </si>
  <si>
    <t>AJUDANTE ELETRICISTA</t>
  </si>
  <si>
    <t xml:space="preserve"> 1.01.15 </t>
  </si>
  <si>
    <t xml:space="preserve"> 4.30.15 </t>
  </si>
  <si>
    <t>CABO DE 16 MM2 (ISOL PVC ANTICHAMA 750V)</t>
  </si>
  <si>
    <t xml:space="preserve"> 4.30.14 </t>
  </si>
  <si>
    <t>CABO DE 10 MM2 (ISOL PVC ANTICHAMA 750V)</t>
  </si>
  <si>
    <t xml:space="preserve"> 4.45.95 </t>
  </si>
  <si>
    <t>INTERRUPTOR AUTOM.DIFER.(DISPOSITIVO DR)40A/300MA</t>
  </si>
  <si>
    <t xml:space="preserve"> 4.94.30 </t>
  </si>
  <si>
    <t>TERMINAL PRESSAO CABO 10MM2</t>
  </si>
  <si>
    <t xml:space="preserve"> 4.95.82 </t>
  </si>
  <si>
    <t>TERMINAL PRES P/CABO 16MM2(6AWG)</t>
  </si>
  <si>
    <t xml:space="preserve"> 91953 </t>
  </si>
  <si>
    <t xml:space="preserve"> 91952 </t>
  </si>
  <si>
    <t>INTERRUPTOR SIMPLES (1 MÓDULO), 10A/250V, SEM SUPORTE E SEM PLACA - FORNECIMENTO E INSTALAÇÃO. AF_12/2015</t>
  </si>
  <si>
    <t xml:space="preserve"> 7.5</t>
  </si>
  <si>
    <t xml:space="preserve"> 7.6</t>
  </si>
  <si>
    <t xml:space="preserve"> 9.8</t>
  </si>
  <si>
    <t xml:space="preserve"> 000216 </t>
  </si>
  <si>
    <t>ELETROCALHA PERFURADA TIPO "U" 100X50MM CHAPA 22</t>
  </si>
  <si>
    <t xml:space="preserve"> 007803 </t>
  </si>
  <si>
    <t>ELETROCALHA - SUPORTE SUSPENSAOSIMPLES TIPO "B" 100x50 mm</t>
  </si>
  <si>
    <t xml:space="preserve"> 034533 </t>
  </si>
  <si>
    <t>SAIDA HORIZONTAL PRE GALVANIZADA PARA ELETRODUTO 2.1/2"</t>
  </si>
  <si>
    <t xml:space="preserve"> 063083 </t>
  </si>
  <si>
    <t>ELETROCALHA - CURVA 45 VERTICAL EXTERNA 100x100mm CHAPA 20</t>
  </si>
  <si>
    <t xml:space="preserve"> 063079 </t>
  </si>
  <si>
    <t>ELETROCALHA - CURVA 45 VERTICAL EXTERNA 100x50mm CHAPA 20</t>
  </si>
  <si>
    <t xml:space="preserve"> 8945 </t>
  </si>
  <si>
    <t>Curva horizontal 100 x 100 mm para eletrocalha metálica, com ângulo 90° Curva horizontal 100 x 100 mm para eletrocalha metálica, com ângulo 90° (ref.: mopa ou similar)</t>
  </si>
  <si>
    <t xml:space="preserve"> 4096 </t>
  </si>
  <si>
    <t>Tê horizontal 100 x 100mm para eletrocalha metálica (ref. Mopa ou similar)</t>
  </si>
  <si>
    <t xml:space="preserve"> 047571 </t>
  </si>
  <si>
    <t>ELETROCALHA - TE VERTICAL DE SUBIDA 100x50 CHAPA 20</t>
  </si>
  <si>
    <t xml:space="preserve"> 13416 </t>
  </si>
  <si>
    <t xml:space="preserve"> 034524 </t>
  </si>
  <si>
    <t>ELETROCALHA - TERMINAL DE FECHAMENTO 100x50 CHAPA 18</t>
  </si>
  <si>
    <t xml:space="preserve"> P.04.000.062055 </t>
  </si>
  <si>
    <t>Eletrocalha lisa galvanizada a fogo, 100x100mm</t>
  </si>
  <si>
    <t>12.3.1</t>
  </si>
  <si>
    <t>12.3.2</t>
  </si>
  <si>
    <t>12.5.1</t>
  </si>
  <si>
    <t>12.5.2</t>
  </si>
  <si>
    <t xml:space="preserve"> 3479 </t>
  </si>
  <si>
    <t xml:space="preserve"> 12.6.3</t>
  </si>
  <si>
    <t xml:space="preserve"> 3450 </t>
  </si>
  <si>
    <t xml:space="preserve"> P.15.000.045618 </t>
  </si>
  <si>
    <t>Módulo tomada RJ-45 1 posto, referência Alumbra linha Belise ou equivalente</t>
  </si>
  <si>
    <t>12.6.7</t>
  </si>
  <si>
    <t xml:space="preserve"> 006633 </t>
  </si>
  <si>
    <t xml:space="preserve"> 12.9.3 </t>
  </si>
  <si>
    <t xml:space="preserve"> 12.9.4 </t>
  </si>
  <si>
    <t xml:space="preserve"> 12.9.5 </t>
  </si>
  <si>
    <t xml:space="preserve"> 12.9.6 </t>
  </si>
  <si>
    <t xml:space="preserve"> 12.9.7 </t>
  </si>
  <si>
    <t xml:space="preserve"> 12.9.8 </t>
  </si>
  <si>
    <t xml:space="preserve"> 12.9.9 </t>
  </si>
  <si>
    <t xml:space="preserve"> 12.9.10 </t>
  </si>
  <si>
    <t xml:space="preserve"> 12.9.11 </t>
  </si>
  <si>
    <t xml:space="preserve"> 12.9.12 </t>
  </si>
  <si>
    <t xml:space="preserve"> 004559 </t>
  </si>
  <si>
    <t>ELETROCALHA - CURVA DE INVERSAO 100x100mm CHAPA 20</t>
  </si>
  <si>
    <t xml:space="preserve"> 12.10.3</t>
  </si>
  <si>
    <t xml:space="preserve">SINAPI.ADPT.97661 </t>
  </si>
  <si>
    <t xml:space="preserve"> 060525 </t>
  </si>
  <si>
    <t xml:space="preserve"> 040539 </t>
  </si>
  <si>
    <t>EMENDA PERFIL 38mm TIPO "T"</t>
  </si>
  <si>
    <t xml:space="preserve"> 83387 </t>
  </si>
  <si>
    <t xml:space="preserve"> 00001872 </t>
  </si>
  <si>
    <t>CAIXA DE PASSAGEM, EM PVC, DE 4" X 2", PARA ELETRODUTO FLEXIVEL CORRUGADO</t>
  </si>
  <si>
    <t xml:space="preserve"> 5.1.8 </t>
  </si>
  <si>
    <t xml:space="preserve"> 5.1.9 </t>
  </si>
  <si>
    <t xml:space="preserve"> 91966 </t>
  </si>
  <si>
    <t>INTERRUPTOR SIMPLES (3 MÓDULOS), 10A/250V, SEM SUPORTE E SEM PLACA - FORNECIMENTO E INSTALAÇÃO. AF_12/2015</t>
  </si>
  <si>
    <t xml:space="preserve"> 7.1 </t>
  </si>
  <si>
    <t xml:space="preserve"> 8.3</t>
  </si>
  <si>
    <t xml:space="preserve"> 8.5</t>
  </si>
  <si>
    <t xml:space="preserve"> P.26.000.044613 </t>
  </si>
  <si>
    <t>Disjuntor termomagnético, unipolar 127/220V, corrente de 10 até 30A, conforme selo de conformidade do INMETRO da Pial Legrand, Eletromar / Cuttler Hammer, Soprano, Lorenzetti, ABB ou equivalente</t>
  </si>
  <si>
    <t xml:space="preserve"> 8.6</t>
  </si>
  <si>
    <t xml:space="preserve"> 00001570 </t>
  </si>
  <si>
    <t>TERMINAL A COMPRESSAO EM COBRE ESTANHADO PARA CABO 2,5 MM2, 1 FURO E 1 COMPRESSAO, PARA PARAFUSO DE FIXACAO M5</t>
  </si>
  <si>
    <t xml:space="preserve"> 00039445 </t>
  </si>
  <si>
    <t>DISPOSITIVO DR, 2 POLOS, SENSIBILIDADE DE 30 MA, CORRENTE DE 25 A, TIPO AC</t>
  </si>
  <si>
    <t xml:space="preserve"> 8.7</t>
  </si>
  <si>
    <t xml:space="preserve"> 3939 </t>
  </si>
  <si>
    <t>DISPOSITIVO DE PROTEÇÃO CONTRA SURTOS(DPS) 275V DE 8 A 40KA</t>
  </si>
  <si>
    <t xml:space="preserve"> 8.8</t>
  </si>
  <si>
    <t xml:space="preserve"> 9.7</t>
  </si>
  <si>
    <t>SINAPI - 04/2022 - PIAUÍ 	 SBC - 05/2022 - TSA - Teresina - PI ORSE - 03/2022 - SERGIPE 	 SETOP - 03/2022 - Minas Gerais - Central SUDECAP - 02/2022 - MINAS GERAIS 	 CPOS - 02/2022 - São Paulo AGESUL - 01/2022 - MATO GROSSO DO SUL 	 AGETOP CIVIL - 04/2022 - Goiás EMOP - 04/2022 - RIO DE JANEIRO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</si>
</sst>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9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* #,##0.00_);_(* \(#,##0.00\);_(* &quot;-&quot;??_);_(@_)"/>
    <numFmt numFmtId="165" formatCode=";;;"/>
    <numFmt numFmtId="166" formatCode="#.##000"/>
    <numFmt numFmtId="167" formatCode="#,#00"/>
    <numFmt numFmtId="168" formatCode="%#,#00"/>
    <numFmt numFmtId="169" formatCode="#,"/>
    <numFmt numFmtId="170" formatCode="_([$€-2]* #,##0.00_);_([$€-2]* \(#,##0.00\);_([$€-2]* &quot;-&quot;??_)"/>
    <numFmt numFmtId="171" formatCode="0.00_);\(0.00\)"/>
    <numFmt numFmtId="172" formatCode="_(&quot;R$ &quot;* #,##0.00_);_(&quot;R$ &quot;* \(#,##0.00\);_(&quot;R$ &quot;* &quot;-&quot;??_);_(@_)"/>
    <numFmt numFmtId="173" formatCode="[$-416]mmmm\-yy;@"/>
    <numFmt numFmtId="174" formatCode="0.0000"/>
    <numFmt numFmtId="175" formatCode="0_);\(0\)"/>
    <numFmt numFmtId="176" formatCode="#,##0.00_ ;\-#,##0.00\ "/>
    <numFmt numFmtId="177" formatCode="0.0%"/>
    <numFmt numFmtId="178" formatCode="#,##0.0000000"/>
    <numFmt numFmtId="179" formatCode="_-* #,##0.00000_-;\-* #,##0.00000_-;_-* &quot;-&quot;??_-;_-@_-"/>
    <numFmt numFmtId="180" formatCode="_-* #,##0.00000000_-;\-* #,##0.00000000_-;_-* &quot;-&quot;??_-;_-@_-"/>
  </numFmts>
  <fonts count="75" x14ac:knownFonts="1">
    <font>
      <sz val="11"/>
      <color theme="1"/>
      <name val="Calibri"/>
      <family val="2"/>
      <scheme val="minor"/>
    </font>
    <font>
      <sz val="10"/>
      <color theme="1"/>
      <name val="Arial Narrow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Arial Narrow"/>
      <family val="2"/>
    </font>
    <font>
      <sz val="11"/>
      <name val="Arial Narrow"/>
      <family val="2"/>
    </font>
    <font>
      <sz val="1"/>
      <color indexed="8"/>
      <name val="Courier"/>
      <family val="3"/>
    </font>
    <font>
      <sz val="10"/>
      <name val="Arial"/>
      <family val="2"/>
    </font>
    <font>
      <sz val="9"/>
      <name val="Arial"/>
      <family val="2"/>
    </font>
    <font>
      <b/>
      <sz val="11"/>
      <name val="Times New Roman"/>
      <family val="1"/>
    </font>
    <font>
      <sz val="9"/>
      <name val="Times New Roman"/>
      <family val="1"/>
    </font>
    <font>
      <b/>
      <sz val="1"/>
      <color indexed="8"/>
      <name val="Courier"/>
      <family val="3"/>
    </font>
    <font>
      <b/>
      <sz val="12"/>
      <color indexed="10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9"/>
      <name val="Calibri"/>
      <family val="2"/>
      <scheme val="minor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sz val="10"/>
      <color theme="1"/>
      <name val="Arial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1"/>
      <color indexed="56"/>
      <name val="Calibri"/>
      <family val="2"/>
    </font>
    <font>
      <b/>
      <sz val="18"/>
      <color indexed="56"/>
      <name val="Cambria"/>
      <family val="2"/>
    </font>
    <font>
      <sz val="10"/>
      <name val="Arial Narrow"/>
      <family val="2"/>
    </font>
    <font>
      <sz val="9"/>
      <color theme="1"/>
      <name val="Calibri"/>
      <family val="2"/>
      <scheme val="minor"/>
    </font>
    <font>
      <i/>
      <sz val="9"/>
      <name val="Calibri"/>
      <family val="2"/>
      <scheme val="minor"/>
    </font>
    <font>
      <b/>
      <i/>
      <sz val="9"/>
      <name val="Calibri"/>
      <family val="2"/>
      <scheme val="minor"/>
    </font>
    <font>
      <b/>
      <sz val="10"/>
      <name val="Arial Narrow"/>
      <family val="2"/>
    </font>
    <font>
      <sz val="10"/>
      <color indexed="9"/>
      <name val="Arial"/>
      <family val="2"/>
    </font>
    <font>
      <sz val="10"/>
      <color indexed="10"/>
      <name val="Arial"/>
      <family val="2"/>
    </font>
    <font>
      <b/>
      <sz val="11"/>
      <color indexed="9"/>
      <name val="Arial"/>
      <family val="2"/>
    </font>
    <font>
      <b/>
      <sz val="11"/>
      <name val="Arial"/>
      <family val="2"/>
    </font>
    <font>
      <sz val="9"/>
      <name val="Arial Narrow"/>
      <family val="2"/>
    </font>
    <font>
      <sz val="10"/>
      <color theme="1"/>
      <name val="Arial Narrow"/>
      <family val="2"/>
    </font>
    <font>
      <b/>
      <sz val="10"/>
      <color rgb="FFFF0000"/>
      <name val="Arial Narrow"/>
      <family val="2"/>
    </font>
    <font>
      <b/>
      <sz val="10"/>
      <color theme="1"/>
      <name val="Arial Narrow"/>
      <family val="2"/>
    </font>
    <font>
      <b/>
      <sz val="12"/>
      <color theme="1"/>
      <name val="Arial Narrow"/>
      <family val="2"/>
    </font>
    <font>
      <sz val="10"/>
      <color indexed="9"/>
      <name val="Arial Narrow"/>
      <family val="2"/>
    </font>
    <font>
      <b/>
      <sz val="10"/>
      <color indexed="9"/>
      <name val="Arial Narrow"/>
      <family val="2"/>
    </font>
    <font>
      <sz val="10"/>
      <color indexed="8"/>
      <name val="Arial Narrow"/>
      <family val="2"/>
    </font>
    <font>
      <b/>
      <sz val="10"/>
      <color rgb="FF000000"/>
      <name val="Arial Narrow"/>
      <family val="2"/>
    </font>
    <font>
      <sz val="10"/>
      <color rgb="FF000000"/>
      <name val="Arial Narrow"/>
      <family val="2"/>
    </font>
    <font>
      <b/>
      <sz val="11"/>
      <color theme="1"/>
      <name val="Arial Narrow"/>
      <family val="2"/>
    </font>
    <font>
      <i/>
      <sz val="10"/>
      <name val="Arial Narrow"/>
      <family val="2"/>
    </font>
    <font>
      <b/>
      <i/>
      <sz val="10"/>
      <name val="Arial Narrow"/>
      <family val="2"/>
    </font>
    <font>
      <sz val="10"/>
      <color rgb="FFFF0000"/>
      <name val="Arial Narrow"/>
      <family val="2"/>
    </font>
    <font>
      <b/>
      <sz val="8"/>
      <color rgb="FF000000"/>
      <name val="Arial Narrow"/>
      <family val="2"/>
    </font>
    <font>
      <sz val="8"/>
      <color rgb="FF000000"/>
      <name val="Arial Narrow"/>
      <family val="2"/>
    </font>
    <font>
      <sz val="8"/>
      <color theme="1"/>
      <name val="Arial Narrow"/>
      <family val="2"/>
    </font>
    <font>
      <b/>
      <sz val="8"/>
      <color rgb="FFFF0000"/>
      <name val="Arial Narrow"/>
      <family val="2"/>
    </font>
    <font>
      <b/>
      <sz val="8"/>
      <color theme="1"/>
      <name val="Arial Narrow"/>
      <family val="2"/>
    </font>
    <font>
      <sz val="8"/>
      <name val="Arial Narrow"/>
      <family val="2"/>
    </font>
    <font>
      <b/>
      <sz val="8"/>
      <name val="Arial Narrow"/>
      <family val="2"/>
    </font>
    <font>
      <i/>
      <sz val="8"/>
      <name val="Arial Narrow"/>
      <family val="2"/>
    </font>
    <font>
      <b/>
      <i/>
      <sz val="8"/>
      <name val="Arial Narrow"/>
      <family val="2"/>
    </font>
    <font>
      <sz val="8"/>
      <color rgb="FFFF0000"/>
      <name val="Arial Narrow"/>
      <family val="2"/>
    </font>
    <font>
      <sz val="8"/>
      <name val="Calibri"/>
      <family val="2"/>
      <scheme val="minor"/>
    </font>
    <font>
      <b/>
      <sz val="11"/>
      <name val="Arial"/>
      <family val="1"/>
    </font>
    <font>
      <sz val="10"/>
      <color rgb="FF000000"/>
      <name val="Arial"/>
      <family val="1"/>
    </font>
    <font>
      <sz val="10"/>
      <name val="Arial"/>
      <family val="1"/>
    </font>
    <font>
      <sz val="12"/>
      <color theme="1"/>
      <name val="Arial"/>
      <family val="2"/>
    </font>
    <font>
      <sz val="12"/>
      <name val="Arial"/>
      <family val="2"/>
    </font>
    <font>
      <sz val="9"/>
      <color indexed="81"/>
      <name val="Segoe UI"/>
      <family val="2"/>
    </font>
    <font>
      <b/>
      <sz val="9"/>
      <color indexed="81"/>
      <name val="Segoe UI"/>
      <family val="2"/>
    </font>
    <font>
      <b/>
      <sz val="9"/>
      <color rgb="FF000000"/>
      <name val="Segoe UI"/>
      <family val="2"/>
      <charset val="1"/>
    </font>
    <font>
      <sz val="9"/>
      <color rgb="FF000000"/>
      <name val="Segoe UI"/>
      <family val="2"/>
      <charset val="1"/>
    </font>
    <font>
      <sz val="11"/>
      <name val="Arial"/>
      <family val="1"/>
    </font>
    <font>
      <sz val="11"/>
      <color theme="1"/>
      <name val="Arial"/>
      <family val="2"/>
    </font>
  </fonts>
  <fills count="42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FFFFFF"/>
      </patternFill>
    </fill>
    <fill>
      <patternFill patternType="solid">
        <fgColor rgb="FFDFF0D8"/>
      </patternFill>
    </fill>
    <fill>
      <patternFill patternType="solid">
        <fgColor rgb="FFD6D6D6"/>
      </patternFill>
    </fill>
    <fill>
      <patternFill patternType="solid">
        <fgColor rgb="FFEFEFEF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rgb="FFDFF0D8"/>
        <bgColor rgb="FF000000"/>
      </patternFill>
    </fill>
    <fill>
      <patternFill patternType="solid">
        <fgColor rgb="FFD6D6D6"/>
        <bgColor rgb="FF000000"/>
      </patternFill>
    </fill>
    <fill>
      <patternFill patternType="solid">
        <fgColor rgb="FFEFEFEF"/>
        <bgColor rgb="FF000000"/>
      </patternFill>
    </fill>
  </fills>
  <borders count="168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30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/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theme="0" tint="-0.34998626667073579"/>
      </right>
      <top style="hair">
        <color theme="0" tint="-0.34998626667073579"/>
      </top>
      <bottom style="hair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hair">
        <color theme="0" tint="-0.34998626667073579"/>
      </top>
      <bottom style="hair">
        <color theme="0" tint="-0.34998626667073579"/>
      </bottom>
      <diagonal/>
    </border>
    <border>
      <left style="thin">
        <color theme="0" tint="-0.34998626667073579"/>
      </left>
      <right style="medium">
        <color indexed="64"/>
      </right>
      <top style="hair">
        <color theme="0" tint="-0.34998626667073579"/>
      </top>
      <bottom style="hair">
        <color theme="0" tint="-0.34998626667073579"/>
      </bottom>
      <diagonal/>
    </border>
    <border>
      <left/>
      <right style="thin">
        <color theme="0" tint="-0.34998626667073579"/>
      </right>
      <top style="medium">
        <color indexed="64"/>
      </top>
      <bottom/>
      <diagonal/>
    </border>
    <border>
      <left/>
      <right style="thin">
        <color theme="0" tint="-0.34998626667073579"/>
      </right>
      <top/>
      <bottom style="medium">
        <color indexed="64"/>
      </bottom>
      <diagonal/>
    </border>
    <border>
      <left style="thin">
        <color theme="0" tint="-0.34998626667073579"/>
      </left>
      <right/>
      <top style="hair">
        <color theme="0" tint="-0.34998626667073579"/>
      </top>
      <bottom style="hair">
        <color theme="0" tint="-0.34998626667073579"/>
      </bottom>
      <diagonal/>
    </border>
    <border>
      <left/>
      <right/>
      <top style="hair">
        <color theme="0" tint="-0.34998626667073579"/>
      </top>
      <bottom style="hair">
        <color theme="0" tint="-0.34998626667073579"/>
      </bottom>
      <diagonal/>
    </border>
    <border>
      <left/>
      <right style="thin">
        <color theme="0" tint="-0.34998626667073579"/>
      </right>
      <top style="hair">
        <color theme="0" tint="-0.34998626667073579"/>
      </top>
      <bottom style="hair">
        <color theme="0" tint="-0.34998626667073579"/>
      </bottom>
      <diagonal/>
    </border>
    <border>
      <left style="thin">
        <color theme="0" tint="-0.34998626667073579"/>
      </left>
      <right/>
      <top style="hair">
        <color theme="0" tint="-0.34998626667073579"/>
      </top>
      <bottom style="medium">
        <color indexed="64"/>
      </bottom>
      <diagonal/>
    </border>
    <border>
      <left/>
      <right/>
      <top style="hair">
        <color theme="0" tint="-0.34998626667073579"/>
      </top>
      <bottom style="medium">
        <color indexed="64"/>
      </bottom>
      <diagonal/>
    </border>
    <border>
      <left/>
      <right style="thin">
        <color theme="0" tint="-0.34998626667073579"/>
      </right>
      <top style="hair">
        <color theme="0" tint="-0.34998626667073579"/>
      </top>
      <bottom style="medium">
        <color indexed="64"/>
      </bottom>
      <diagonal/>
    </border>
    <border>
      <left style="medium">
        <color indexed="64"/>
      </left>
      <right style="thin">
        <color theme="0" tint="-0.34998626667073579"/>
      </right>
      <top style="hair">
        <color theme="0" tint="-0.34998626667073579"/>
      </top>
      <bottom style="medium">
        <color indexed="64"/>
      </bottom>
      <diagonal/>
    </border>
    <border>
      <left style="thin">
        <color theme="0" tint="-0.34998626667073579"/>
      </left>
      <right style="thin">
        <color theme="0" tint="-0.34998626667073579"/>
      </right>
      <top style="hair">
        <color theme="0" tint="-0.34998626667073579"/>
      </top>
      <bottom style="medium">
        <color indexed="64"/>
      </bottom>
      <diagonal/>
    </border>
    <border>
      <left style="thin">
        <color theme="0" tint="-0.34998626667073579"/>
      </left>
      <right style="medium">
        <color indexed="64"/>
      </right>
      <top style="hair">
        <color theme="0" tint="-0.34998626667073579"/>
      </top>
      <bottom style="medium">
        <color indexed="64"/>
      </bottom>
      <diagonal/>
    </border>
    <border>
      <left style="medium">
        <color indexed="64"/>
      </left>
      <right style="thin">
        <color theme="0" tint="-0.34998626667073579"/>
      </right>
      <top style="medium">
        <color indexed="64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medium">
        <color indexed="64"/>
      </top>
      <bottom style="thin">
        <color theme="0" tint="-0.34998626667073579"/>
      </bottom>
      <diagonal/>
    </border>
    <border>
      <left style="thin">
        <color theme="0" tint="-0.34998626667073579"/>
      </left>
      <right style="medium">
        <color indexed="64"/>
      </right>
      <top style="medium">
        <color indexed="64"/>
      </top>
      <bottom style="thin">
        <color theme="0" tint="-0.34998626667073579"/>
      </bottom>
      <diagonal/>
    </border>
    <border>
      <left style="medium">
        <color indexed="64"/>
      </left>
      <right style="thin">
        <color theme="0" tint="-0.34998626667073579"/>
      </right>
      <top style="thin">
        <color theme="0" tint="-0.34998626667073579"/>
      </top>
      <bottom style="medium">
        <color indexed="64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medium">
        <color indexed="64"/>
      </bottom>
      <diagonal/>
    </border>
    <border>
      <left style="thin">
        <color theme="0" tint="-0.34998626667073579"/>
      </left>
      <right style="medium">
        <color indexed="64"/>
      </right>
      <top style="thin">
        <color theme="0" tint="-0.34998626667073579"/>
      </top>
      <bottom style="medium">
        <color indexed="64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 style="medium">
        <color indexed="64"/>
      </right>
      <top/>
      <bottom/>
      <diagonal/>
    </border>
    <border>
      <left/>
      <right style="thin">
        <color theme="0" tint="-0.34998626667073579"/>
      </right>
      <top style="medium">
        <color indexed="64"/>
      </top>
      <bottom style="thin">
        <color theme="0" tint="-0.34998626667073579"/>
      </bottom>
      <diagonal/>
    </border>
    <border>
      <left style="medium">
        <color indexed="64"/>
      </left>
      <right style="thin">
        <color theme="0" tint="-0.34998626667073579"/>
      </right>
      <top style="thin">
        <color theme="0" tint="-0.34998626667073579"/>
      </top>
      <bottom style="medium">
        <color rgb="FF000000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medium">
        <color rgb="FF000000"/>
      </bottom>
      <diagonal/>
    </border>
    <border>
      <left style="thin">
        <color theme="0" tint="-0.34998626667073579"/>
      </left>
      <right style="medium">
        <color indexed="64"/>
      </right>
      <top style="thin">
        <color theme="0" tint="-0.34998626667073579"/>
      </top>
      <bottom style="medium">
        <color rgb="FF000000"/>
      </bottom>
      <diagonal/>
    </border>
    <border>
      <left style="medium">
        <color indexed="64"/>
      </left>
      <right style="thin">
        <color theme="0" tint="-0.34998626667073579"/>
      </right>
      <top/>
      <bottom/>
      <diagonal/>
    </border>
    <border>
      <left style="medium">
        <color indexed="64"/>
      </left>
      <right style="thin">
        <color theme="0" tint="-0.34998626667073579"/>
      </right>
      <top/>
      <bottom style="medium">
        <color indexed="64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medium">
        <color indexed="64"/>
      </bottom>
      <diagonal/>
    </border>
    <border>
      <left style="thin">
        <color theme="0" tint="-0.34998626667073579"/>
      </left>
      <right style="medium">
        <color indexed="64"/>
      </right>
      <top/>
      <bottom style="medium">
        <color indexed="64"/>
      </bottom>
      <diagonal/>
    </border>
    <border>
      <left style="thin">
        <color theme="0" tint="-0.34998626667073579"/>
      </left>
      <right/>
      <top style="medium">
        <color indexed="64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medium">
        <color rgb="FF000000"/>
      </bottom>
      <diagonal/>
    </border>
    <border>
      <left style="medium">
        <color indexed="64"/>
      </left>
      <right style="thin">
        <color theme="0" tint="-0.34998626667073579"/>
      </right>
      <top style="medium">
        <color indexed="64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 style="medium">
        <color indexed="64"/>
      </top>
      <bottom/>
      <diagonal/>
    </border>
    <border>
      <left style="thin">
        <color theme="0" tint="-0.34998626667073579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theme="0" tint="-0.34998626667073579"/>
      </right>
      <top style="hair">
        <color indexed="64"/>
      </top>
      <bottom style="hair">
        <color indexed="64"/>
      </bottom>
      <diagonal/>
    </border>
    <border>
      <left style="thin">
        <color theme="0" tint="-0.34998626667073579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theme="0" tint="-0.34998626667073579"/>
      </right>
      <top style="hair">
        <color indexed="64"/>
      </top>
      <bottom style="medium">
        <color indexed="64"/>
      </bottom>
      <diagonal/>
    </border>
    <border>
      <left style="thin">
        <color theme="0" tint="-0.34998626667073579"/>
      </left>
      <right style="thin">
        <color theme="0" tint="-0.34998626667073579"/>
      </right>
      <top style="hair">
        <color indexed="64"/>
      </top>
      <bottom style="medium">
        <color indexed="64"/>
      </bottom>
      <diagonal/>
    </border>
    <border>
      <left style="thin">
        <color theme="0" tint="-0.34998626667073579"/>
      </left>
      <right/>
      <top style="hair">
        <color indexed="64"/>
      </top>
      <bottom style="medium">
        <color indexed="64"/>
      </bottom>
      <diagonal/>
    </border>
    <border>
      <left style="thin">
        <color theme="0" tint="-0.34998626667073579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theme="0" tint="-0.34998626667073579"/>
      </left>
      <right/>
      <top style="medium">
        <color indexed="64"/>
      </top>
      <bottom/>
      <diagonal/>
    </border>
    <border>
      <left style="medium">
        <color indexed="64"/>
      </left>
      <right style="thin">
        <color theme="0" tint="-0.34998626667073579"/>
      </right>
      <top/>
      <bottom style="hair">
        <color indexed="64"/>
      </bottom>
      <diagonal/>
    </border>
    <border>
      <left style="thin">
        <color theme="0" tint="-0.34998626667073579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theme="0" tint="-0.34998626667073579"/>
      </right>
      <top style="hair">
        <color theme="0" tint="-0.14996795556505021"/>
      </top>
      <bottom style="hair">
        <color theme="0" tint="-0.14996795556505021"/>
      </bottom>
      <diagonal/>
    </border>
    <border>
      <left style="thin">
        <color theme="0" tint="-0.34998626667073579"/>
      </left>
      <right style="thin">
        <color theme="0" tint="-0.34998626667073579"/>
      </right>
      <top style="hair">
        <color theme="0" tint="-0.14996795556505021"/>
      </top>
      <bottom style="hair">
        <color theme="0" tint="-0.14996795556505021"/>
      </bottom>
      <diagonal/>
    </border>
    <border>
      <left style="thin">
        <color theme="0" tint="-0.34998626667073579"/>
      </left>
      <right/>
      <top style="hair">
        <color theme="0" tint="-0.14996795556505021"/>
      </top>
      <bottom style="hair">
        <color theme="0" tint="-0.14996795556505021"/>
      </bottom>
      <diagonal/>
    </border>
    <border>
      <left style="thin">
        <color theme="0" tint="-0.34998626667073579"/>
      </left>
      <right style="medium">
        <color indexed="64"/>
      </right>
      <top style="hair">
        <color theme="0" tint="-0.14996795556505021"/>
      </top>
      <bottom style="hair">
        <color theme="0" tint="-0.14996795556505021"/>
      </bottom>
      <diagonal/>
    </border>
    <border>
      <left/>
      <right style="thin">
        <color theme="0" tint="-0.34998626667073579"/>
      </right>
      <top style="hair">
        <color theme="0" tint="-0.14996795556505021"/>
      </top>
      <bottom style="hair">
        <color theme="0" tint="-0.14996795556505021"/>
      </bottom>
      <diagonal/>
    </border>
    <border>
      <left style="medium">
        <color indexed="64"/>
      </left>
      <right style="thin">
        <color theme="0" tint="-0.34998626667073579"/>
      </right>
      <top style="hair">
        <color theme="0" tint="-0.14996795556505021"/>
      </top>
      <bottom style="medium">
        <color indexed="64"/>
      </bottom>
      <diagonal/>
    </border>
    <border>
      <left/>
      <right style="thin">
        <color theme="0" tint="-0.34998626667073579"/>
      </right>
      <top style="hair">
        <color theme="0" tint="-0.14996795556505021"/>
      </top>
      <bottom style="medium">
        <color indexed="64"/>
      </bottom>
      <diagonal/>
    </border>
    <border>
      <left style="thin">
        <color theme="0" tint="-0.34998626667073579"/>
      </left>
      <right style="thin">
        <color theme="0" tint="-0.34998626667073579"/>
      </right>
      <top style="hair">
        <color theme="0" tint="-0.14996795556505021"/>
      </top>
      <bottom style="medium">
        <color indexed="64"/>
      </bottom>
      <diagonal/>
    </border>
    <border>
      <left style="thin">
        <color theme="0" tint="-0.34998626667073579"/>
      </left>
      <right/>
      <top style="hair">
        <color theme="0" tint="-0.14996795556505021"/>
      </top>
      <bottom style="medium">
        <color indexed="64"/>
      </bottom>
      <diagonal/>
    </border>
    <border>
      <left style="thin">
        <color theme="0" tint="-0.34998626667073579"/>
      </left>
      <right style="medium">
        <color indexed="64"/>
      </right>
      <top style="hair">
        <color theme="0" tint="-0.14996795556505021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theme="0" tint="-0.34998626667073579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theme="0" tint="-0.34998626667073579"/>
      </bottom>
      <diagonal/>
    </border>
    <border>
      <left/>
      <right style="medium">
        <color indexed="64"/>
      </right>
      <top style="thin">
        <color theme="0" tint="-0.34998626667073579"/>
      </top>
      <bottom style="medium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indexed="64"/>
      </right>
      <top style="medium">
        <color indexed="64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indexed="64"/>
      </right>
      <top style="thin">
        <color theme="0" tint="-0.34998626667073579"/>
      </top>
      <bottom style="medium">
        <color rgb="FF000000"/>
      </bottom>
      <diagonal/>
    </border>
    <border>
      <left style="thin">
        <color theme="0" tint="-0.34998626667073579"/>
      </left>
      <right style="thin">
        <color indexed="64"/>
      </right>
      <top style="hair">
        <color theme="0" tint="-0.14996795556505021"/>
      </top>
      <bottom style="hair">
        <color theme="0" tint="-0.14996795556505021"/>
      </bottom>
      <diagonal/>
    </border>
    <border>
      <left style="thin">
        <color theme="0" tint="-0.34998626667073579"/>
      </left>
      <right style="thin">
        <color indexed="64"/>
      </right>
      <top style="hair">
        <color theme="0" tint="-0.14996795556505021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medium">
        <color indexed="64"/>
      </top>
      <bottom/>
      <diagonal/>
    </border>
    <border>
      <left/>
      <right style="thin">
        <color rgb="FF000000"/>
      </right>
      <top style="medium">
        <color indexed="64"/>
      </top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/>
      <right/>
      <top style="thick">
        <color rgb="FF000000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theme="0" tint="-0.34998626667073579"/>
      </right>
      <top style="hair">
        <color indexed="64"/>
      </top>
      <bottom/>
      <diagonal/>
    </border>
    <border>
      <left style="thin">
        <color theme="0" tint="-0.34998626667073579"/>
      </left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theme="0" tint="-0.34998626667073579"/>
      </bottom>
      <diagonal/>
    </border>
    <border>
      <left style="medium">
        <color indexed="64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indexed="64"/>
      </right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medium">
        <color indexed="64"/>
      </right>
      <top/>
      <bottom/>
      <diagonal/>
    </border>
    <border>
      <left/>
      <right/>
      <top style="hair">
        <color theme="0" tint="-0.14996795556505021"/>
      </top>
      <bottom style="hair">
        <color theme="0" tint="-0.14996795556505021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/>
      <bottom style="thin">
        <color rgb="FFCCCCCC"/>
      </bottom>
      <diagonal/>
    </border>
    <border>
      <left/>
      <right style="thin">
        <color rgb="FFCCCCCC"/>
      </right>
      <top/>
      <bottom style="thin">
        <color rgb="FFCCCCCC"/>
      </bottom>
      <diagonal/>
    </border>
    <border>
      <left style="thin">
        <color rgb="FFCCCCCC"/>
      </left>
      <right/>
      <top style="thin">
        <color rgb="FFCCCCCC"/>
      </top>
      <bottom style="thin">
        <color rgb="FFCCCCCC"/>
      </bottom>
      <diagonal/>
    </border>
  </borders>
  <cellStyleXfs count="201">
    <xf numFmtId="0" fontId="0" fillId="0" borderId="0"/>
    <xf numFmtId="43" fontId="2" fillId="0" borderId="0" applyFont="0" applyFill="0" applyBorder="0" applyAlignment="0" applyProtection="0"/>
    <xf numFmtId="0" fontId="4" fillId="0" borderId="0"/>
    <xf numFmtId="0" fontId="6" fillId="0" borderId="0">
      <protection locked="0"/>
    </xf>
    <xf numFmtId="170" fontId="7" fillId="0" borderId="0" applyFont="0" applyFill="0" applyBorder="0" applyAlignment="0" applyProtection="0"/>
    <xf numFmtId="167" fontId="6" fillId="0" borderId="0">
      <protection locked="0"/>
    </xf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168" fontId="6" fillId="0" borderId="0">
      <protection locked="0"/>
    </xf>
    <xf numFmtId="166" fontId="6" fillId="0" borderId="0">
      <protection locked="0"/>
    </xf>
    <xf numFmtId="9" fontId="5" fillId="0" borderId="0" applyFont="0" applyFill="0" applyBorder="0" applyAlignment="0" applyProtection="0"/>
    <xf numFmtId="9" fontId="7" fillId="0" borderId="0" applyFont="0" applyFill="0" applyBorder="0" applyAlignment="0" applyProtection="0"/>
    <xf numFmtId="164" fontId="5" fillId="0" borderId="0" applyFont="0" applyFill="0" applyBorder="0" applyAlignment="0" applyProtection="0"/>
    <xf numFmtId="4" fontId="9" fillId="0" borderId="1">
      <alignment vertical="center"/>
    </xf>
    <xf numFmtId="4" fontId="10" fillId="0" borderId="0">
      <alignment vertical="center"/>
    </xf>
    <xf numFmtId="169" fontId="11" fillId="0" borderId="0">
      <protection locked="0"/>
    </xf>
    <xf numFmtId="169" fontId="11" fillId="0" borderId="0">
      <protection locked="0"/>
    </xf>
    <xf numFmtId="49" fontId="12" fillId="2" borderId="2">
      <alignment horizontal="left" vertical="center" indent="1"/>
    </xf>
    <xf numFmtId="169" fontId="6" fillId="0" borderId="3">
      <protection locked="0"/>
    </xf>
    <xf numFmtId="164" fontId="7" fillId="0" borderId="0" applyFont="0" applyFill="0" applyBorder="0" applyAlignment="0" applyProtection="0"/>
    <xf numFmtId="0" fontId="7" fillId="0" borderId="0"/>
    <xf numFmtId="0" fontId="7" fillId="0" borderId="0"/>
    <xf numFmtId="164" fontId="7" fillId="0" borderId="0" applyFont="0" applyFill="0" applyBorder="0" applyAlignment="0" applyProtection="0"/>
    <xf numFmtId="164" fontId="5" fillId="0" borderId="0" applyFont="0" applyFill="0" applyBorder="0" applyAlignment="0" applyProtection="0"/>
    <xf numFmtId="0" fontId="5" fillId="0" borderId="0"/>
    <xf numFmtId="0" fontId="7" fillId="0" borderId="0"/>
    <xf numFmtId="0" fontId="5" fillId="0" borderId="0"/>
    <xf numFmtId="164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73" fontId="7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7" fillId="0" borderId="0" applyFont="0" applyFill="0" applyBorder="0" applyAlignment="0" applyProtection="0"/>
    <xf numFmtId="0" fontId="7" fillId="0" borderId="0"/>
    <xf numFmtId="164" fontId="7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73" fontId="14" fillId="5" borderId="0" applyNumberFormat="0" applyBorder="0" applyAlignment="0" applyProtection="0"/>
    <xf numFmtId="173" fontId="14" fillId="6" borderId="0" applyNumberFormat="0" applyBorder="0" applyAlignment="0" applyProtection="0"/>
    <xf numFmtId="173" fontId="14" fillId="7" borderId="0" applyNumberFormat="0" applyBorder="0" applyAlignment="0" applyProtection="0"/>
    <xf numFmtId="173" fontId="14" fillId="8" borderId="0" applyNumberFormat="0" applyBorder="0" applyAlignment="0" applyProtection="0"/>
    <xf numFmtId="173" fontId="14" fillId="9" borderId="0" applyNumberFormat="0" applyBorder="0" applyAlignment="0" applyProtection="0"/>
    <xf numFmtId="173" fontId="14" fillId="10" borderId="0" applyNumberFormat="0" applyBorder="0" applyAlignment="0" applyProtection="0"/>
    <xf numFmtId="173" fontId="14" fillId="11" borderId="0" applyNumberFormat="0" applyBorder="0" applyAlignment="0" applyProtection="0"/>
    <xf numFmtId="173" fontId="14" fillId="12" borderId="0" applyNumberFormat="0" applyBorder="0" applyAlignment="0" applyProtection="0"/>
    <xf numFmtId="173" fontId="14" fillId="13" borderId="0" applyNumberFormat="0" applyBorder="0" applyAlignment="0" applyProtection="0"/>
    <xf numFmtId="173" fontId="14" fillId="8" borderId="0" applyNumberFormat="0" applyBorder="0" applyAlignment="0" applyProtection="0"/>
    <xf numFmtId="173" fontId="14" fillId="11" borderId="0" applyNumberFormat="0" applyBorder="0" applyAlignment="0" applyProtection="0"/>
    <xf numFmtId="173" fontId="14" fillId="14" borderId="0" applyNumberFormat="0" applyBorder="0" applyAlignment="0" applyProtection="0"/>
    <xf numFmtId="173" fontId="16" fillId="15" borderId="0" applyNumberFormat="0" applyBorder="0" applyAlignment="0" applyProtection="0"/>
    <xf numFmtId="173" fontId="16" fillId="12" borderId="0" applyNumberFormat="0" applyBorder="0" applyAlignment="0" applyProtection="0"/>
    <xf numFmtId="173" fontId="16" fillId="13" borderId="0" applyNumberFormat="0" applyBorder="0" applyAlignment="0" applyProtection="0"/>
    <xf numFmtId="173" fontId="16" fillId="16" borderId="0" applyNumberFormat="0" applyBorder="0" applyAlignment="0" applyProtection="0"/>
    <xf numFmtId="173" fontId="16" fillId="17" borderId="0" applyNumberFormat="0" applyBorder="0" applyAlignment="0" applyProtection="0"/>
    <xf numFmtId="173" fontId="16" fillId="18" borderId="0" applyNumberFormat="0" applyBorder="0" applyAlignment="0" applyProtection="0"/>
    <xf numFmtId="173" fontId="17" fillId="7" borderId="0" applyNumberFormat="0" applyBorder="0" applyAlignment="0" applyProtection="0"/>
    <xf numFmtId="173" fontId="18" fillId="19" borderId="19" applyNumberFormat="0" applyAlignment="0" applyProtection="0"/>
    <xf numFmtId="173" fontId="19" fillId="20" borderId="20" applyNumberFormat="0" applyAlignment="0" applyProtection="0"/>
    <xf numFmtId="173" fontId="20" fillId="0" borderId="21" applyNumberFormat="0" applyFill="0" applyAlignment="0" applyProtection="0"/>
    <xf numFmtId="173" fontId="6" fillId="0" borderId="0">
      <protection locked="0"/>
    </xf>
    <xf numFmtId="173" fontId="16" fillId="21" borderId="0" applyNumberFormat="0" applyBorder="0" applyAlignment="0" applyProtection="0"/>
    <xf numFmtId="173" fontId="16" fillId="22" borderId="0" applyNumberFormat="0" applyBorder="0" applyAlignment="0" applyProtection="0"/>
    <xf numFmtId="173" fontId="16" fillId="23" borderId="0" applyNumberFormat="0" applyBorder="0" applyAlignment="0" applyProtection="0"/>
    <xf numFmtId="173" fontId="16" fillId="16" borderId="0" applyNumberFormat="0" applyBorder="0" applyAlignment="0" applyProtection="0"/>
    <xf numFmtId="173" fontId="16" fillId="17" borderId="0" applyNumberFormat="0" applyBorder="0" applyAlignment="0" applyProtection="0"/>
    <xf numFmtId="173" fontId="16" fillId="24" borderId="0" applyNumberFormat="0" applyBorder="0" applyAlignment="0" applyProtection="0"/>
    <xf numFmtId="173" fontId="21" fillId="10" borderId="19" applyNumberFormat="0" applyAlignment="0" applyProtection="0"/>
    <xf numFmtId="173" fontId="7" fillId="0" borderId="0" applyFont="0" applyFill="0" applyBorder="0" applyAlignment="0" applyProtection="0"/>
    <xf numFmtId="173" fontId="22" fillId="6" borderId="0" applyNumberFormat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72" fontId="5" fillId="0" borderId="0" applyFont="0" applyFill="0" applyBorder="0" applyAlignment="0" applyProtection="0"/>
    <xf numFmtId="173" fontId="23" fillId="25" borderId="0" applyNumberFormat="0" applyBorder="0" applyAlignment="0" applyProtection="0"/>
    <xf numFmtId="173" fontId="5" fillId="0" borderId="0"/>
    <xf numFmtId="173" fontId="5" fillId="0" borderId="0"/>
    <xf numFmtId="173" fontId="5" fillId="0" borderId="0"/>
    <xf numFmtId="173" fontId="5" fillId="0" borderId="0"/>
    <xf numFmtId="173" fontId="13" fillId="0" borderId="0"/>
    <xf numFmtId="173" fontId="7" fillId="0" borderId="0"/>
    <xf numFmtId="173" fontId="5" fillId="0" borderId="0"/>
    <xf numFmtId="173" fontId="7" fillId="0" borderId="0"/>
    <xf numFmtId="0" fontId="7" fillId="0" borderId="0"/>
    <xf numFmtId="0" fontId="24" fillId="0" borderId="0"/>
    <xf numFmtId="173" fontId="7" fillId="26" borderId="22" applyNumberFormat="0" applyFont="0" applyAlignment="0" applyProtection="0"/>
    <xf numFmtId="9" fontId="7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173" fontId="25" fillId="19" borderId="23" applyNumberFormat="0" applyAlignment="0" applyProtection="0"/>
    <xf numFmtId="164" fontId="7" fillId="0" borderId="0" applyFont="0" applyFill="0" applyBorder="0" applyAlignment="0" applyProtection="0"/>
    <xf numFmtId="164" fontId="5" fillId="0" borderId="0" applyFont="0" applyFill="0" applyBorder="0" applyAlignment="0" applyProtection="0"/>
    <xf numFmtId="167" fontId="5" fillId="0" borderId="0" applyFill="0" applyBorder="0" applyAlignment="0" applyProtection="0"/>
    <xf numFmtId="169" fontId="7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7" fillId="0" borderId="0" applyFont="0" applyFill="0" applyBorder="0" applyAlignment="0" applyProtection="0"/>
    <xf numFmtId="173" fontId="26" fillId="0" borderId="0" applyNumberFormat="0" applyFill="0" applyBorder="0" applyAlignment="0" applyProtection="0"/>
    <xf numFmtId="173" fontId="27" fillId="0" borderId="0" applyNumberFormat="0" applyFill="0" applyBorder="0" applyAlignment="0" applyProtection="0"/>
    <xf numFmtId="173" fontId="28" fillId="0" borderId="24" applyNumberFormat="0" applyFill="0" applyAlignment="0" applyProtection="0"/>
    <xf numFmtId="173" fontId="28" fillId="0" borderId="0" applyNumberFormat="0" applyFill="0" applyBorder="0" applyAlignment="0" applyProtection="0"/>
    <xf numFmtId="173" fontId="29" fillId="0" borderId="0" applyNumberFormat="0" applyFill="0" applyBorder="0" applyAlignment="0" applyProtection="0"/>
    <xf numFmtId="174" fontId="8" fillId="0" borderId="0"/>
    <xf numFmtId="9" fontId="7" fillId="0" borderId="0" applyFont="0" applyFill="0" applyBorder="0" applyAlignment="0" applyProtection="0"/>
    <xf numFmtId="174" fontId="8" fillId="0" borderId="0"/>
    <xf numFmtId="174" fontId="8" fillId="0" borderId="0"/>
    <xf numFmtId="174" fontId="5" fillId="0" borderId="0"/>
    <xf numFmtId="174" fontId="8" fillId="0" borderId="0"/>
    <xf numFmtId="174" fontId="8" fillId="0" borderId="0"/>
    <xf numFmtId="174" fontId="5" fillId="0" borderId="0"/>
    <xf numFmtId="174" fontId="5" fillId="0" borderId="0"/>
    <xf numFmtId="174" fontId="5" fillId="0" borderId="0"/>
    <xf numFmtId="174" fontId="5" fillId="0" borderId="0"/>
    <xf numFmtId="174" fontId="5" fillId="0" borderId="0"/>
    <xf numFmtId="174" fontId="5" fillId="0" borderId="0"/>
    <xf numFmtId="174" fontId="5" fillId="0" borderId="0"/>
    <xf numFmtId="174" fontId="5" fillId="0" borderId="0"/>
    <xf numFmtId="174" fontId="5" fillId="0" borderId="0"/>
    <xf numFmtId="174" fontId="5" fillId="0" borderId="0"/>
    <xf numFmtId="164" fontId="5" fillId="0" borderId="0" applyFont="0" applyFill="0" applyBorder="0" applyAlignment="0" applyProtection="0"/>
    <xf numFmtId="0" fontId="5" fillId="0" borderId="0"/>
    <xf numFmtId="164" fontId="5" fillId="0" borderId="0" applyFont="0" applyFill="0" applyBorder="0" applyAlignment="0" applyProtection="0"/>
    <xf numFmtId="174" fontId="5" fillId="0" borderId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73" fontId="7" fillId="0" borderId="0" applyFont="0" applyFill="0" applyBorder="0" applyAlignment="0" applyProtection="0"/>
    <xf numFmtId="164" fontId="5" fillId="0" borderId="0" applyFont="0" applyFill="0" applyBorder="0" applyAlignment="0" applyProtection="0"/>
    <xf numFmtId="172" fontId="5" fillId="0" borderId="0" applyFont="0" applyFill="0" applyBorder="0" applyAlignment="0" applyProtection="0"/>
    <xf numFmtId="174" fontId="8" fillId="0" borderId="0"/>
    <xf numFmtId="0" fontId="5" fillId="0" borderId="0"/>
    <xf numFmtId="43" fontId="7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0" fillId="0" borderId="0"/>
    <xf numFmtId="9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72" fontId="4" fillId="0" borderId="0" applyFont="0" applyFill="0" applyBorder="0" applyAlignment="0" applyProtection="0"/>
    <xf numFmtId="173" fontId="4" fillId="0" borderId="0"/>
    <xf numFmtId="173" fontId="4" fillId="0" borderId="0"/>
    <xf numFmtId="173" fontId="4" fillId="0" borderId="0"/>
    <xf numFmtId="173" fontId="4" fillId="0" borderId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7" fontId="4" fillId="0" borderId="0" applyFill="0" applyBorder="0" applyAlignment="0" applyProtection="0"/>
    <xf numFmtId="164" fontId="4" fillId="0" borderId="0" applyFont="0" applyFill="0" applyBorder="0" applyAlignment="0" applyProtection="0"/>
    <xf numFmtId="174" fontId="4" fillId="0" borderId="0"/>
    <xf numFmtId="174" fontId="4" fillId="0" borderId="0"/>
    <xf numFmtId="174" fontId="4" fillId="0" borderId="0"/>
    <xf numFmtId="174" fontId="4" fillId="0" borderId="0"/>
    <xf numFmtId="174" fontId="4" fillId="0" borderId="0"/>
    <xf numFmtId="174" fontId="4" fillId="0" borderId="0"/>
    <xf numFmtId="174" fontId="4" fillId="0" borderId="0"/>
    <xf numFmtId="174" fontId="4" fillId="0" borderId="0"/>
    <xf numFmtId="174" fontId="4" fillId="0" borderId="0"/>
    <xf numFmtId="174" fontId="4" fillId="0" borderId="0"/>
    <xf numFmtId="174" fontId="4" fillId="0" borderId="0"/>
    <xf numFmtId="164" fontId="4" fillId="0" borderId="0" applyFont="0" applyFill="0" applyBorder="0" applyAlignment="0" applyProtection="0"/>
    <xf numFmtId="0" fontId="4" fillId="0" borderId="0"/>
    <xf numFmtId="164" fontId="4" fillId="0" borderId="0" applyFont="0" applyFill="0" applyBorder="0" applyAlignment="0" applyProtection="0"/>
    <xf numFmtId="174" fontId="4" fillId="0" borderId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72" fontId="4" fillId="0" borderId="0" applyFont="0" applyFill="0" applyBorder="0" applyAlignment="0" applyProtection="0"/>
    <xf numFmtId="0" fontId="4" fillId="0" borderId="0"/>
    <xf numFmtId="44" fontId="2" fillId="0" borderId="0" applyFont="0" applyFill="0" applyBorder="0" applyAlignment="0" applyProtection="0"/>
  </cellStyleXfs>
  <cellXfs count="678">
    <xf numFmtId="0" fontId="0" fillId="0" borderId="0" xfId="0"/>
    <xf numFmtId="0" fontId="31" fillId="4" borderId="0" xfId="0" applyFont="1" applyFill="1" applyAlignment="1">
      <alignment vertical="center"/>
    </xf>
    <xf numFmtId="0" fontId="15" fillId="4" borderId="0" xfId="7" applyFont="1" applyFill="1" applyAlignment="1">
      <alignment vertical="center"/>
    </xf>
    <xf numFmtId="0" fontId="32" fillId="4" borderId="0" xfId="10" applyFont="1" applyFill="1" applyAlignment="1">
      <alignment vertical="center"/>
    </xf>
    <xf numFmtId="1" fontId="32" fillId="4" borderId="0" xfId="10" applyNumberFormat="1" applyFont="1" applyFill="1" applyAlignment="1">
      <alignment horizontal="center" vertical="center"/>
    </xf>
    <xf numFmtId="4" fontId="32" fillId="4" borderId="0" xfId="10" applyNumberFormat="1" applyFont="1" applyFill="1" applyAlignment="1">
      <alignment vertical="center"/>
    </xf>
    <xf numFmtId="4" fontId="33" fillId="4" borderId="0" xfId="10" applyNumberFormat="1" applyFont="1" applyFill="1" applyAlignment="1">
      <alignment vertical="center"/>
    </xf>
    <xf numFmtId="0" fontId="0" fillId="0" borderId="0" xfId="0" applyAlignment="1">
      <alignment vertical="center"/>
    </xf>
    <xf numFmtId="173" fontId="30" fillId="0" borderId="0" xfId="92" applyFont="1" applyAlignment="1">
      <alignment horizontal="left" vertical="center"/>
    </xf>
    <xf numFmtId="173" fontId="34" fillId="0" borderId="0" xfId="92" applyFont="1" applyAlignment="1">
      <alignment vertical="center"/>
    </xf>
    <xf numFmtId="173" fontId="30" fillId="0" borderId="0" xfId="92" applyFont="1" applyAlignment="1">
      <alignment horizontal="right" vertical="center"/>
    </xf>
    <xf numFmtId="173" fontId="34" fillId="0" borderId="0" xfId="92" applyFont="1" applyAlignment="1">
      <alignment horizontal="center" vertical="center"/>
    </xf>
    <xf numFmtId="173" fontId="30" fillId="0" borderId="0" xfId="92" applyFont="1" applyAlignment="1">
      <alignment vertical="center"/>
    </xf>
    <xf numFmtId="173" fontId="34" fillId="0" borderId="0" xfId="92" applyFont="1" applyAlignment="1">
      <alignment horizontal="left" vertical="center"/>
    </xf>
    <xf numFmtId="0" fontId="0" fillId="0" borderId="37" xfId="0" applyBorder="1" applyAlignment="1">
      <alignment vertical="center"/>
    </xf>
    <xf numFmtId="0" fontId="0" fillId="0" borderId="5" xfId="0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0" xfId="0" applyAlignment="1">
      <alignment horizontal="center" vertical="center"/>
    </xf>
    <xf numFmtId="0" fontId="0" fillId="4" borderId="0" xfId="0" applyFill="1" applyAlignment="1">
      <alignment vertical="center"/>
    </xf>
    <xf numFmtId="0" fontId="3" fillId="28" borderId="29" xfId="0" applyFont="1" applyFill="1" applyBorder="1" applyAlignment="1">
      <alignment horizontal="left" vertical="center"/>
    </xf>
    <xf numFmtId="0" fontId="40" fillId="4" borderId="0" xfId="0" applyFont="1" applyFill="1" applyAlignment="1">
      <alignment vertical="center"/>
    </xf>
    <xf numFmtId="0" fontId="40" fillId="0" borderId="0" xfId="0" applyFont="1" applyAlignment="1">
      <alignment vertical="center"/>
    </xf>
    <xf numFmtId="0" fontId="40" fillId="0" borderId="0" xfId="0" applyFont="1" applyAlignment="1">
      <alignment horizontal="center" vertical="center"/>
    </xf>
    <xf numFmtId="43" fontId="40" fillId="0" borderId="0" xfId="1" applyFont="1" applyAlignment="1">
      <alignment vertical="center"/>
    </xf>
    <xf numFmtId="175" fontId="34" fillId="4" borderId="38" xfId="9" applyNumberFormat="1" applyFont="1" applyFill="1" applyBorder="1" applyAlignment="1">
      <alignment horizontal="center" vertical="center"/>
    </xf>
    <xf numFmtId="171" fontId="34" fillId="4" borderId="39" xfId="9" applyNumberFormat="1" applyFont="1" applyFill="1" applyBorder="1" applyAlignment="1">
      <alignment horizontal="center" vertical="center"/>
    </xf>
    <xf numFmtId="171" fontId="34" fillId="4" borderId="44" xfId="9" applyNumberFormat="1" applyFont="1" applyFill="1" applyBorder="1" applyAlignment="1">
      <alignment horizontal="center" vertical="center"/>
    </xf>
    <xf numFmtId="0" fontId="34" fillId="4" borderId="43" xfId="9" quotePrefix="1" applyFont="1" applyFill="1" applyBorder="1" applyAlignment="1">
      <alignment vertical="center"/>
    </xf>
    <xf numFmtId="0" fontId="34" fillId="4" borderId="44" xfId="9" applyFont="1" applyFill="1" applyBorder="1" applyAlignment="1">
      <alignment vertical="center"/>
    </xf>
    <xf numFmtId="0" fontId="34" fillId="4" borderId="45" xfId="9" applyFont="1" applyFill="1" applyBorder="1" applyAlignment="1">
      <alignment vertical="center"/>
    </xf>
    <xf numFmtId="0" fontId="34" fillId="4" borderId="39" xfId="9" applyFont="1" applyFill="1" applyBorder="1" applyAlignment="1">
      <alignment horizontal="center" vertical="center"/>
    </xf>
    <xf numFmtId="4" fontId="30" fillId="4" borderId="39" xfId="26" applyNumberFormat="1" applyFont="1" applyFill="1" applyBorder="1" applyAlignment="1">
      <alignment vertical="center"/>
    </xf>
    <xf numFmtId="4" fontId="41" fillId="29" borderId="40" xfId="26" applyNumberFormat="1" applyFont="1" applyFill="1" applyBorder="1" applyAlignment="1">
      <alignment vertical="center"/>
    </xf>
    <xf numFmtId="175" fontId="34" fillId="4" borderId="38" xfId="9" quotePrefix="1" applyNumberFormat="1" applyFont="1" applyFill="1" applyBorder="1" applyAlignment="1">
      <alignment horizontal="center" vertical="center"/>
    </xf>
    <xf numFmtId="175" fontId="30" fillId="4" borderId="44" xfId="9" quotePrefix="1" applyNumberFormat="1" applyFont="1" applyFill="1" applyBorder="1" applyAlignment="1">
      <alignment horizontal="center" vertical="center"/>
    </xf>
    <xf numFmtId="0" fontId="30" fillId="4" borderId="43" xfId="9" quotePrefix="1" applyFont="1" applyFill="1" applyBorder="1" applyAlignment="1">
      <alignment vertical="center"/>
    </xf>
    <xf numFmtId="0" fontId="30" fillId="4" borderId="44" xfId="9" applyFont="1" applyFill="1" applyBorder="1" applyAlignment="1">
      <alignment vertical="center"/>
    </xf>
    <xf numFmtId="0" fontId="30" fillId="4" borderId="39" xfId="9" applyFont="1" applyFill="1" applyBorder="1" applyAlignment="1">
      <alignment horizontal="center" vertical="center"/>
    </xf>
    <xf numFmtId="4" fontId="30" fillId="4" borderId="39" xfId="1" applyNumberFormat="1" applyFont="1" applyFill="1" applyBorder="1" applyAlignment="1">
      <alignment horizontal="right" vertical="center"/>
    </xf>
    <xf numFmtId="175" fontId="30" fillId="4" borderId="38" xfId="9" quotePrefix="1" applyNumberFormat="1" applyFont="1" applyFill="1" applyBorder="1" applyAlignment="1">
      <alignment horizontal="center" vertical="center"/>
    </xf>
    <xf numFmtId="175" fontId="30" fillId="4" borderId="39" xfId="9" quotePrefix="1" applyNumberFormat="1" applyFont="1" applyFill="1" applyBorder="1" applyAlignment="1">
      <alignment horizontal="center" vertical="center"/>
    </xf>
    <xf numFmtId="171" fontId="34" fillId="4" borderId="39" xfId="9" quotePrefix="1" applyNumberFormat="1" applyFont="1" applyFill="1" applyBorder="1" applyAlignment="1">
      <alignment horizontal="center" vertical="center"/>
    </xf>
    <xf numFmtId="171" fontId="34" fillId="4" borderId="44" xfId="9" quotePrefix="1" applyNumberFormat="1" applyFont="1" applyFill="1" applyBorder="1" applyAlignment="1">
      <alignment horizontal="center" vertical="center"/>
    </xf>
    <xf numFmtId="0" fontId="34" fillId="4" borderId="44" xfId="9" quotePrefix="1" applyFont="1" applyFill="1" applyBorder="1" applyAlignment="1">
      <alignment vertical="center"/>
    </xf>
    <xf numFmtId="175" fontId="34" fillId="4" borderId="44" xfId="9" applyNumberFormat="1" applyFont="1" applyFill="1" applyBorder="1" applyAlignment="1">
      <alignment horizontal="center" vertical="center"/>
    </xf>
    <xf numFmtId="175" fontId="34" fillId="4" borderId="44" xfId="9" quotePrefix="1" applyNumberFormat="1" applyFont="1" applyFill="1" applyBorder="1" applyAlignment="1">
      <alignment horizontal="center" vertical="center"/>
    </xf>
    <xf numFmtId="1" fontId="30" fillId="4" borderId="39" xfId="9" quotePrefix="1" applyNumberFormat="1" applyFont="1" applyFill="1" applyBorder="1" applyAlignment="1">
      <alignment horizontal="center" vertical="center"/>
    </xf>
    <xf numFmtId="0" fontId="30" fillId="4" borderId="46" xfId="9" quotePrefix="1" applyFont="1" applyFill="1" applyBorder="1" applyAlignment="1">
      <alignment vertical="center"/>
    </xf>
    <xf numFmtId="0" fontId="30" fillId="4" borderId="47" xfId="9" applyFont="1" applyFill="1" applyBorder="1" applyAlignment="1">
      <alignment vertical="center"/>
    </xf>
    <xf numFmtId="0" fontId="30" fillId="4" borderId="50" xfId="9" applyFont="1" applyFill="1" applyBorder="1" applyAlignment="1">
      <alignment horizontal="center" vertical="center"/>
    </xf>
    <xf numFmtId="4" fontId="30" fillId="4" borderId="50" xfId="26" applyNumberFormat="1" applyFont="1" applyFill="1" applyBorder="1" applyAlignment="1">
      <alignment vertical="center"/>
    </xf>
    <xf numFmtId="4" fontId="41" fillId="29" borderId="51" xfId="26" applyNumberFormat="1" applyFont="1" applyFill="1" applyBorder="1" applyAlignment="1">
      <alignment vertical="center"/>
    </xf>
    <xf numFmtId="10" fontId="34" fillId="0" borderId="0" xfId="144" applyNumberFormat="1" applyFont="1" applyFill="1" applyAlignment="1" applyProtection="1">
      <alignment horizontal="center" vertical="center"/>
    </xf>
    <xf numFmtId="164" fontId="30" fillId="0" borderId="0" xfId="190" applyFont="1" applyFill="1" applyBorder="1" applyAlignment="1" applyProtection="1">
      <alignment vertical="center" wrapText="1"/>
    </xf>
    <xf numFmtId="173" fontId="13" fillId="0" borderId="0" xfId="92" applyAlignment="1">
      <alignment vertical="center"/>
    </xf>
    <xf numFmtId="10" fontId="30" fillId="0" borderId="0" xfId="144" applyNumberFormat="1" applyFont="1" applyFill="1" applyBorder="1" applyAlignment="1" applyProtection="1">
      <alignment vertical="center"/>
      <protection locked="0"/>
    </xf>
    <xf numFmtId="10" fontId="30" fillId="0" borderId="0" xfId="144" applyNumberFormat="1" applyFont="1" applyFill="1" applyBorder="1" applyAlignment="1" applyProtection="1">
      <alignment horizontal="right" vertical="center"/>
      <protection locked="0"/>
    </xf>
    <xf numFmtId="0" fontId="40" fillId="0" borderId="0" xfId="0" applyFont="1" applyAlignment="1">
      <alignment horizontal="center" vertical="center" wrapText="1"/>
    </xf>
    <xf numFmtId="0" fontId="30" fillId="0" borderId="0" xfId="0" applyFont="1" applyAlignment="1">
      <alignment vertical="center"/>
    </xf>
    <xf numFmtId="0" fontId="34" fillId="0" borderId="0" xfId="0" applyFont="1" applyAlignment="1">
      <alignment vertical="center"/>
    </xf>
    <xf numFmtId="0" fontId="30" fillId="27" borderId="73" xfId="0" applyFont="1" applyFill="1" applyBorder="1" applyAlignment="1">
      <alignment horizontal="center" vertical="center"/>
    </xf>
    <xf numFmtId="0" fontId="30" fillId="27" borderId="26" xfId="0" applyFont="1" applyFill="1" applyBorder="1" applyAlignment="1">
      <alignment vertical="center"/>
    </xf>
    <xf numFmtId="164" fontId="34" fillId="27" borderId="26" xfId="22" applyFont="1" applyFill="1" applyBorder="1" applyAlignment="1">
      <alignment vertical="center"/>
    </xf>
    <xf numFmtId="0" fontId="30" fillId="27" borderId="108" xfId="0" applyFont="1" applyFill="1" applyBorder="1" applyAlignment="1">
      <alignment horizontal="center" vertical="center"/>
    </xf>
    <xf numFmtId="0" fontId="30" fillId="27" borderId="106" xfId="0" applyFont="1" applyFill="1" applyBorder="1" applyAlignment="1">
      <alignment vertical="center"/>
    </xf>
    <xf numFmtId="10" fontId="34" fillId="27" borderId="4" xfId="195" applyNumberFormat="1" applyFont="1" applyFill="1" applyBorder="1" applyAlignment="1">
      <alignment vertical="center"/>
    </xf>
    <xf numFmtId="0" fontId="30" fillId="30" borderId="73" xfId="0" applyFont="1" applyFill="1" applyBorder="1" applyAlignment="1">
      <alignment horizontal="right" vertical="center"/>
    </xf>
    <xf numFmtId="0" fontId="30" fillId="30" borderId="26" xfId="0" applyFont="1" applyFill="1" applyBorder="1" applyAlignment="1">
      <alignment vertical="center"/>
    </xf>
    <xf numFmtId="43" fontId="34" fillId="30" borderId="26" xfId="0" applyNumberFormat="1" applyFont="1" applyFill="1" applyBorder="1" applyAlignment="1">
      <alignment vertical="center"/>
    </xf>
    <xf numFmtId="0" fontId="30" fillId="30" borderId="77" xfId="0" applyFont="1" applyFill="1" applyBorder="1" applyAlignment="1">
      <alignment horizontal="right" vertical="center"/>
    </xf>
    <xf numFmtId="0" fontId="30" fillId="30" borderId="27" xfId="0" applyFont="1" applyFill="1" applyBorder="1" applyAlignment="1">
      <alignment vertical="center"/>
    </xf>
    <xf numFmtId="164" fontId="30" fillId="0" borderId="0" xfId="190" applyFont="1" applyFill="1" applyBorder="1" applyAlignment="1">
      <alignment vertical="center" wrapText="1"/>
    </xf>
    <xf numFmtId="164" fontId="30" fillId="0" borderId="0" xfId="190" applyFont="1" applyBorder="1" applyAlignment="1">
      <alignment vertical="center" wrapText="1"/>
    </xf>
    <xf numFmtId="0" fontId="30" fillId="4" borderId="0" xfId="7" applyFont="1" applyFill="1" applyAlignment="1">
      <alignment vertical="center"/>
    </xf>
    <xf numFmtId="0" fontId="50" fillId="4" borderId="0" xfId="10" applyFont="1" applyFill="1" applyAlignment="1">
      <alignment vertical="center"/>
    </xf>
    <xf numFmtId="1" fontId="50" fillId="4" borderId="0" xfId="10" applyNumberFormat="1" applyFont="1" applyFill="1" applyAlignment="1">
      <alignment horizontal="center" vertical="center"/>
    </xf>
    <xf numFmtId="4" fontId="50" fillId="4" borderId="0" xfId="10" applyNumberFormat="1" applyFont="1" applyFill="1" applyAlignment="1">
      <alignment vertical="center"/>
    </xf>
    <xf numFmtId="4" fontId="51" fillId="4" borderId="0" xfId="10" applyNumberFormat="1" applyFont="1" applyFill="1" applyAlignment="1">
      <alignment vertical="center"/>
    </xf>
    <xf numFmtId="43" fontId="51" fillId="4" borderId="0" xfId="1" applyFont="1" applyFill="1" applyBorder="1" applyAlignment="1">
      <alignment vertical="center"/>
    </xf>
    <xf numFmtId="4" fontId="40" fillId="4" borderId="0" xfId="0" applyNumberFormat="1" applyFont="1" applyFill="1" applyAlignment="1">
      <alignment vertical="center"/>
    </xf>
    <xf numFmtId="43" fontId="40" fillId="4" borderId="0" xfId="1" applyFont="1" applyFill="1" applyBorder="1" applyAlignment="1">
      <alignment vertical="center"/>
    </xf>
    <xf numFmtId="0" fontId="30" fillId="4" borderId="44" xfId="9" applyFont="1" applyFill="1" applyBorder="1" applyAlignment="1" applyProtection="1">
      <alignment vertical="center" wrapText="1"/>
      <protection locked="0"/>
    </xf>
    <xf numFmtId="0" fontId="30" fillId="4" borderId="44" xfId="9" applyFont="1" applyFill="1" applyBorder="1" applyAlignment="1" applyProtection="1">
      <alignment vertical="center"/>
      <protection locked="0"/>
    </xf>
    <xf numFmtId="0" fontId="30" fillId="4" borderId="45" xfId="9" applyFont="1" applyFill="1" applyBorder="1" applyAlignment="1" applyProtection="1">
      <alignment vertical="center"/>
      <protection locked="0"/>
    </xf>
    <xf numFmtId="0" fontId="40" fillId="4" borderId="0" xfId="0" applyFont="1" applyFill="1" applyAlignment="1">
      <alignment horizontal="center" vertical="center"/>
    </xf>
    <xf numFmtId="0" fontId="40" fillId="0" borderId="0" xfId="0" applyFont="1" applyAlignment="1">
      <alignment horizontal="left" vertical="center"/>
    </xf>
    <xf numFmtId="43" fontId="30" fillId="0" borderId="0" xfId="1" applyFont="1" applyBorder="1" applyAlignment="1">
      <alignment horizontal="right" vertical="center"/>
    </xf>
    <xf numFmtId="0" fontId="34" fillId="4" borderId="0" xfId="8" applyFont="1" applyFill="1" applyAlignment="1">
      <alignment vertical="center"/>
    </xf>
    <xf numFmtId="0" fontId="34" fillId="4" borderId="0" xfId="9" quotePrefix="1" applyFont="1" applyFill="1" applyAlignment="1">
      <alignment vertical="center"/>
    </xf>
    <xf numFmtId="0" fontId="30" fillId="4" borderId="0" xfId="9" quotePrefix="1" applyFont="1" applyFill="1" applyAlignment="1">
      <alignment vertical="center"/>
    </xf>
    <xf numFmtId="4" fontId="40" fillId="0" borderId="0" xfId="0" applyNumberFormat="1" applyFont="1" applyAlignment="1">
      <alignment vertical="center"/>
    </xf>
    <xf numFmtId="164" fontId="34" fillId="0" borderId="4" xfId="22" applyFont="1" applyFill="1" applyBorder="1" applyAlignment="1">
      <alignment vertical="center"/>
    </xf>
    <xf numFmtId="164" fontId="30" fillId="4" borderId="113" xfId="22" applyFont="1" applyFill="1" applyBorder="1" applyAlignment="1">
      <alignment vertical="center"/>
    </xf>
    <xf numFmtId="164" fontId="30" fillId="4" borderId="114" xfId="22" applyFont="1" applyFill="1" applyBorder="1" applyAlignment="1">
      <alignment vertical="center"/>
    </xf>
    <xf numFmtId="164" fontId="30" fillId="4" borderId="25" xfId="22" applyFont="1" applyFill="1" applyBorder="1" applyAlignment="1">
      <alignment vertical="center"/>
    </xf>
    <xf numFmtId="164" fontId="30" fillId="4" borderId="13" xfId="22" applyFont="1" applyFill="1" applyBorder="1" applyAlignment="1">
      <alignment vertical="center"/>
    </xf>
    <xf numFmtId="10" fontId="34" fillId="0" borderId="29" xfId="195" applyNumberFormat="1" applyFont="1" applyFill="1" applyBorder="1" applyAlignment="1">
      <alignment vertical="center"/>
    </xf>
    <xf numFmtId="0" fontId="41" fillId="29" borderId="0" xfId="0" applyFont="1" applyFill="1" applyAlignment="1">
      <alignment horizontal="right" vertical="center"/>
    </xf>
    <xf numFmtId="43" fontId="41" fillId="29" borderId="64" xfId="1" applyFont="1" applyFill="1" applyBorder="1" applyAlignment="1">
      <alignment horizontal="left" vertical="center"/>
    </xf>
    <xf numFmtId="43" fontId="41" fillId="29" borderId="58" xfId="1" applyFont="1" applyFill="1" applyBorder="1" applyAlignment="1">
      <alignment horizontal="left" vertical="center"/>
    </xf>
    <xf numFmtId="43" fontId="41" fillId="29" borderId="59" xfId="1" applyFont="1" applyFill="1" applyBorder="1" applyAlignment="1">
      <alignment horizontal="left" vertical="center"/>
    </xf>
    <xf numFmtId="0" fontId="30" fillId="4" borderId="0" xfId="145" applyFill="1" applyAlignment="1">
      <alignment vertical="center"/>
    </xf>
    <xf numFmtId="0" fontId="34" fillId="4" borderId="0" xfId="145" applyFont="1" applyFill="1" applyAlignment="1">
      <alignment vertical="center"/>
    </xf>
    <xf numFmtId="0" fontId="40" fillId="0" borderId="0" xfId="0" applyFont="1" applyAlignment="1">
      <alignment horizontal="justify" vertical="center"/>
    </xf>
    <xf numFmtId="0" fontId="47" fillId="29" borderId="56" xfId="0" applyFont="1" applyFill="1" applyBorder="1" applyAlignment="1">
      <alignment horizontal="center" vertical="center" wrapText="1"/>
    </xf>
    <xf numFmtId="0" fontId="47" fillId="0" borderId="86" xfId="0" applyFont="1" applyBorder="1" applyAlignment="1">
      <alignment horizontal="center" vertical="center" wrapText="1"/>
    </xf>
    <xf numFmtId="43" fontId="40" fillId="0" borderId="87" xfId="1" applyFont="1" applyBorder="1" applyAlignment="1">
      <alignment horizontal="center" vertical="center" wrapText="1"/>
    </xf>
    <xf numFmtId="0" fontId="40" fillId="0" borderId="0" xfId="0" applyFont="1" applyAlignment="1">
      <alignment horizontal="left" vertical="center" wrapText="1"/>
    </xf>
    <xf numFmtId="0" fontId="40" fillId="0" borderId="0" xfId="0" applyFont="1" applyAlignment="1">
      <alignment horizontal="justify" vertical="center" wrapText="1"/>
    </xf>
    <xf numFmtId="0" fontId="30" fillId="0" borderId="0" xfId="0" applyFont="1" applyAlignment="1">
      <alignment horizontal="left" vertical="center"/>
    </xf>
    <xf numFmtId="0" fontId="52" fillId="0" borderId="0" xfId="0" applyFont="1" applyAlignment="1">
      <alignment horizontal="justify" vertical="center"/>
    </xf>
    <xf numFmtId="0" fontId="52" fillId="0" borderId="0" xfId="0" applyFont="1" applyAlignment="1">
      <alignment horizontal="left" vertical="center"/>
    </xf>
    <xf numFmtId="0" fontId="40" fillId="0" borderId="8" xfId="0" applyFont="1" applyBorder="1" applyAlignment="1">
      <alignment horizontal="left" vertical="center"/>
    </xf>
    <xf numFmtId="0" fontId="40" fillId="0" borderId="9" xfId="0" applyFont="1" applyBorder="1" applyAlignment="1">
      <alignment horizontal="justify" vertical="center"/>
    </xf>
    <xf numFmtId="0" fontId="40" fillId="0" borderId="65" xfId="0" applyFont="1" applyBorder="1" applyAlignment="1">
      <alignment horizontal="left" vertical="center"/>
    </xf>
    <xf numFmtId="0" fontId="40" fillId="0" borderId="66" xfId="0" applyFont="1" applyBorder="1" applyAlignment="1">
      <alignment horizontal="left" vertical="center"/>
    </xf>
    <xf numFmtId="0" fontId="40" fillId="0" borderId="67" xfId="0" applyFont="1" applyBorder="1" applyAlignment="1">
      <alignment horizontal="left" vertical="center"/>
    </xf>
    <xf numFmtId="0" fontId="47" fillId="29" borderId="55" xfId="0" applyFont="1" applyFill="1" applyBorder="1" applyAlignment="1">
      <alignment horizontal="center" vertical="center" wrapText="1"/>
    </xf>
    <xf numFmtId="0" fontId="47" fillId="29" borderId="57" xfId="0" applyFont="1" applyFill="1" applyBorder="1" applyAlignment="1">
      <alignment horizontal="center" vertical="center" wrapText="1"/>
    </xf>
    <xf numFmtId="43" fontId="40" fillId="0" borderId="84" xfId="1" applyFont="1" applyBorder="1" applyAlignment="1">
      <alignment horizontal="center" vertical="center" wrapText="1"/>
    </xf>
    <xf numFmtId="43" fontId="40" fillId="0" borderId="86" xfId="1" applyFont="1" applyBorder="1" applyAlignment="1">
      <alignment horizontal="center" vertical="center" wrapText="1"/>
    </xf>
    <xf numFmtId="43" fontId="40" fillId="0" borderId="89" xfId="1" applyFont="1" applyBorder="1" applyAlignment="1">
      <alignment horizontal="center" vertical="center" wrapText="1"/>
    </xf>
    <xf numFmtId="43" fontId="34" fillId="0" borderId="0" xfId="1" applyFont="1" applyBorder="1" applyAlignment="1">
      <alignment vertical="center"/>
    </xf>
    <xf numFmtId="43" fontId="30" fillId="0" borderId="0" xfId="1" applyFont="1" applyFill="1" applyAlignment="1" applyProtection="1">
      <alignment vertical="center"/>
    </xf>
    <xf numFmtId="0" fontId="40" fillId="0" borderId="6" xfId="0" applyFont="1" applyBorder="1" applyAlignment="1">
      <alignment horizontal="right" vertical="center"/>
    </xf>
    <xf numFmtId="0" fontId="40" fillId="0" borderId="17" xfId="0" applyFont="1" applyBorder="1" applyAlignment="1">
      <alignment horizontal="right" vertical="center"/>
    </xf>
    <xf numFmtId="0" fontId="40" fillId="0" borderId="70" xfId="0" applyFont="1" applyBorder="1" applyAlignment="1">
      <alignment horizontal="left" vertical="center"/>
    </xf>
    <xf numFmtId="0" fontId="40" fillId="0" borderId="71" xfId="0" applyFont="1" applyBorder="1" applyAlignment="1">
      <alignment horizontal="left" vertical="center"/>
    </xf>
    <xf numFmtId="0" fontId="40" fillId="0" borderId="72" xfId="0" applyFont="1" applyBorder="1" applyAlignment="1">
      <alignment horizontal="left" vertical="center"/>
    </xf>
    <xf numFmtId="164" fontId="30" fillId="31" borderId="113" xfId="22" applyFont="1" applyFill="1" applyBorder="1" applyAlignment="1">
      <alignment horizontal="center" vertical="center"/>
    </xf>
    <xf numFmtId="164" fontId="30" fillId="31" borderId="114" xfId="22" applyFont="1" applyFill="1" applyBorder="1" applyAlignment="1">
      <alignment horizontal="center" vertical="center"/>
    </xf>
    <xf numFmtId="164" fontId="30" fillId="31" borderId="25" xfId="22" applyFont="1" applyFill="1" applyBorder="1" applyAlignment="1">
      <alignment horizontal="center" vertical="center"/>
    </xf>
    <xf numFmtId="164" fontId="30" fillId="4" borderId="113" xfId="22" applyFont="1" applyFill="1" applyBorder="1" applyAlignment="1">
      <alignment horizontal="center" vertical="center"/>
    </xf>
    <xf numFmtId="164" fontId="30" fillId="4" borderId="114" xfId="22" applyFont="1" applyFill="1" applyBorder="1" applyAlignment="1">
      <alignment horizontal="center" vertical="center"/>
    </xf>
    <xf numFmtId="164" fontId="30" fillId="4" borderId="25" xfId="22" applyFont="1" applyFill="1" applyBorder="1" applyAlignment="1">
      <alignment horizontal="center" vertical="center"/>
    </xf>
    <xf numFmtId="164" fontId="30" fillId="4" borderId="13" xfId="22" applyFont="1" applyFill="1" applyBorder="1" applyAlignment="1">
      <alignment horizontal="center" vertical="center"/>
    </xf>
    <xf numFmtId="0" fontId="40" fillId="0" borderId="0" xfId="0" quotePrefix="1" applyFont="1" applyAlignment="1">
      <alignment vertical="center"/>
    </xf>
    <xf numFmtId="173" fontId="30" fillId="0" borderId="0" xfId="92" applyFont="1" applyAlignment="1">
      <alignment horizontal="center" vertical="center"/>
    </xf>
    <xf numFmtId="4" fontId="30" fillId="0" borderId="0" xfId="0" applyNumberFormat="1" applyFont="1" applyAlignment="1">
      <alignment horizontal="left" vertical="center"/>
    </xf>
    <xf numFmtId="0" fontId="47" fillId="0" borderId="0" xfId="0" applyFont="1" applyAlignment="1">
      <alignment horizontal="left" vertical="center"/>
    </xf>
    <xf numFmtId="0" fontId="48" fillId="0" borderId="0" xfId="0" applyFont="1" applyAlignment="1">
      <alignment horizontal="left" vertical="center"/>
    </xf>
    <xf numFmtId="0" fontId="48" fillId="0" borderId="0" xfId="0" applyFont="1" applyAlignment="1">
      <alignment horizontal="center" vertical="center"/>
    </xf>
    <xf numFmtId="43" fontId="48" fillId="0" borderId="0" xfId="1" applyFont="1" applyAlignment="1">
      <alignment horizontal="left" vertical="center"/>
    </xf>
    <xf numFmtId="0" fontId="42" fillId="0" borderId="0" xfId="0" applyFont="1" applyAlignment="1">
      <alignment vertical="center" wrapText="1"/>
    </xf>
    <xf numFmtId="173" fontId="34" fillId="0" borderId="0" xfId="92" applyFont="1" applyAlignment="1">
      <alignment horizontal="justify" vertical="center"/>
    </xf>
    <xf numFmtId="173" fontId="34" fillId="0" borderId="0" xfId="92" applyFont="1" applyAlignment="1">
      <alignment horizontal="justify" vertical="center" wrapText="1"/>
    </xf>
    <xf numFmtId="173" fontId="30" fillId="0" borderId="0" xfId="92" applyFont="1" applyAlignment="1">
      <alignment horizontal="justify" vertical="center"/>
    </xf>
    <xf numFmtId="10" fontId="34" fillId="0" borderId="0" xfId="144" applyNumberFormat="1" applyFont="1" applyFill="1" applyAlignment="1" applyProtection="1">
      <alignment horizontal="left" vertical="center"/>
    </xf>
    <xf numFmtId="0" fontId="50" fillId="4" borderId="0" xfId="10" applyFont="1" applyFill="1" applyAlignment="1">
      <alignment horizontal="justify" vertical="center"/>
    </xf>
    <xf numFmtId="4" fontId="50" fillId="4" borderId="0" xfId="10" applyNumberFormat="1" applyFont="1" applyFill="1" applyAlignment="1">
      <alignment horizontal="center" vertical="center"/>
    </xf>
    <xf numFmtId="173" fontId="34" fillId="0" borderId="0" xfId="92" applyFont="1" applyAlignment="1">
      <alignment horizontal="center" vertical="center" wrapText="1"/>
    </xf>
    <xf numFmtId="175" fontId="30" fillId="4" borderId="49" xfId="9" quotePrefix="1" applyNumberFormat="1" applyFont="1" applyFill="1" applyBorder="1" applyAlignment="1">
      <alignment horizontal="center" vertical="center"/>
    </xf>
    <xf numFmtId="1" fontId="30" fillId="4" borderId="50" xfId="9" quotePrefix="1" applyNumberFormat="1" applyFont="1" applyFill="1" applyBorder="1" applyAlignment="1">
      <alignment horizontal="center" vertical="center"/>
    </xf>
    <xf numFmtId="175" fontId="30" fillId="4" borderId="47" xfId="9" quotePrefix="1" applyNumberFormat="1" applyFont="1" applyFill="1" applyBorder="1" applyAlignment="1">
      <alignment horizontal="center" vertical="center"/>
    </xf>
    <xf numFmtId="0" fontId="42" fillId="0" borderId="0" xfId="0" applyFont="1" applyAlignment="1">
      <alignment horizontal="justify" vertical="center"/>
    </xf>
    <xf numFmtId="0" fontId="42" fillId="0" borderId="0" xfId="0" applyFont="1" applyAlignment="1">
      <alignment horizontal="left" vertical="center"/>
    </xf>
    <xf numFmtId="0" fontId="48" fillId="0" borderId="84" xfId="0" applyFont="1" applyBorder="1" applyAlignment="1">
      <alignment horizontal="center" vertical="center" wrapText="1"/>
    </xf>
    <xf numFmtId="0" fontId="53" fillId="29" borderId="61" xfId="0" applyFont="1" applyFill="1" applyBorder="1" applyAlignment="1">
      <alignment horizontal="center" vertical="center" wrapText="1"/>
    </xf>
    <xf numFmtId="0" fontId="53" fillId="29" borderId="62" xfId="0" applyFont="1" applyFill="1" applyBorder="1" applyAlignment="1">
      <alignment horizontal="center" vertical="center" wrapText="1"/>
    </xf>
    <xf numFmtId="0" fontId="53" fillId="29" borderId="128" xfId="0" applyFont="1" applyFill="1" applyBorder="1" applyAlignment="1">
      <alignment horizontal="center" vertical="center" wrapText="1"/>
    </xf>
    <xf numFmtId="0" fontId="54" fillId="0" borderId="95" xfId="0" applyFont="1" applyBorder="1" applyAlignment="1">
      <alignment horizontal="center" vertical="center" wrapText="1"/>
    </xf>
    <xf numFmtId="10" fontId="55" fillId="0" borderId="97" xfId="144" applyNumberFormat="1" applyFont="1" applyBorder="1" applyAlignment="1">
      <alignment horizontal="right" vertical="center"/>
    </xf>
    <xf numFmtId="0" fontId="54" fillId="0" borderId="94" xfId="0" applyFont="1" applyBorder="1" applyAlignment="1">
      <alignment horizontal="center" vertical="center" wrapText="1"/>
    </xf>
    <xf numFmtId="0" fontId="54" fillId="0" borderId="95" xfId="0" applyFont="1" applyBorder="1" applyAlignment="1">
      <alignment horizontal="justify" vertical="center" wrapText="1"/>
    </xf>
    <xf numFmtId="43" fontId="54" fillId="0" borderId="96" xfId="1" applyFont="1" applyBorder="1" applyAlignment="1">
      <alignment horizontal="right" vertical="center" wrapText="1"/>
    </xf>
    <xf numFmtId="4" fontId="54" fillId="0" borderId="94" xfId="0" applyNumberFormat="1" applyFont="1" applyBorder="1" applyAlignment="1">
      <alignment vertical="center" wrapText="1"/>
    </xf>
    <xf numFmtId="4" fontId="54" fillId="0" borderId="95" xfId="0" applyNumberFormat="1" applyFont="1" applyBorder="1" applyAlignment="1">
      <alignment horizontal="right" vertical="center" wrapText="1"/>
    </xf>
    <xf numFmtId="4" fontId="54" fillId="0" borderId="129" xfId="0" applyNumberFormat="1" applyFont="1" applyBorder="1" applyAlignment="1">
      <alignment horizontal="right" vertical="center" wrapText="1"/>
    </xf>
    <xf numFmtId="4" fontId="54" fillId="0" borderId="98" xfId="0" applyNumberFormat="1" applyFont="1" applyBorder="1" applyAlignment="1">
      <alignment vertical="center" wrapText="1"/>
    </xf>
    <xf numFmtId="4" fontId="54" fillId="0" borderId="95" xfId="0" applyNumberFormat="1" applyFont="1" applyBorder="1" applyAlignment="1">
      <alignment vertical="center" wrapText="1"/>
    </xf>
    <xf numFmtId="43" fontId="54" fillId="0" borderId="129" xfId="1" applyFont="1" applyBorder="1" applyAlignment="1">
      <alignment horizontal="right" vertical="center" wrapText="1"/>
    </xf>
    <xf numFmtId="1" fontId="54" fillId="0" borderId="95" xfId="0" applyNumberFormat="1" applyFont="1" applyBorder="1" applyAlignment="1">
      <alignment horizontal="center" vertical="center" wrapText="1"/>
    </xf>
    <xf numFmtId="0" fontId="56" fillId="0" borderId="130" xfId="0" applyFont="1" applyBorder="1" applyAlignment="1">
      <alignment horizontal="right" vertical="center" wrapText="1"/>
    </xf>
    <xf numFmtId="4" fontId="56" fillId="0" borderId="100" xfId="0" applyNumberFormat="1" applyFont="1" applyBorder="1" applyAlignment="1">
      <alignment vertical="center" wrapText="1"/>
    </xf>
    <xf numFmtId="4" fontId="56" fillId="0" borderId="101" xfId="0" applyNumberFormat="1" applyFont="1" applyBorder="1" applyAlignment="1">
      <alignment vertical="center" wrapText="1"/>
    </xf>
    <xf numFmtId="43" fontId="56" fillId="0" borderId="130" xfId="1" applyFont="1" applyBorder="1" applyAlignment="1">
      <alignment horizontal="right" vertical="center" wrapText="1"/>
    </xf>
    <xf numFmtId="10" fontId="56" fillId="0" borderId="103" xfId="144" applyNumberFormat="1" applyFont="1" applyBorder="1" applyAlignment="1">
      <alignment horizontal="right" vertical="center"/>
    </xf>
    <xf numFmtId="0" fontId="55" fillId="0" borderId="0" xfId="0" applyFont="1" applyAlignment="1">
      <alignment vertical="center"/>
    </xf>
    <xf numFmtId="0" fontId="55" fillId="0" borderId="0" xfId="0" applyFont="1" applyAlignment="1">
      <alignment horizontal="center" vertical="center"/>
    </xf>
    <xf numFmtId="43" fontId="55" fillId="0" borderId="0" xfId="1" applyFont="1" applyAlignment="1">
      <alignment vertical="center"/>
    </xf>
    <xf numFmtId="173" fontId="58" fillId="0" borderId="0" xfId="92" applyFont="1" applyAlignment="1">
      <alignment vertical="center"/>
    </xf>
    <xf numFmtId="173" fontId="58" fillId="0" borderId="0" xfId="92" applyFont="1" applyAlignment="1">
      <alignment horizontal="left" vertical="center"/>
    </xf>
    <xf numFmtId="173" fontId="59" fillId="0" borderId="0" xfId="92" applyFont="1" applyAlignment="1">
      <alignment horizontal="left" vertical="center"/>
    </xf>
    <xf numFmtId="173" fontId="59" fillId="0" borderId="0" xfId="92" applyFont="1" applyAlignment="1">
      <alignment vertical="center"/>
    </xf>
    <xf numFmtId="43" fontId="59" fillId="0" borderId="0" xfId="1" applyFont="1" applyBorder="1" applyAlignment="1">
      <alignment vertical="center"/>
    </xf>
    <xf numFmtId="173" fontId="58" fillId="0" borderId="0" xfId="92" applyFont="1" applyAlignment="1">
      <alignment horizontal="right" vertical="center"/>
    </xf>
    <xf numFmtId="173" fontId="59" fillId="0" borderId="0" xfId="92" applyFont="1" applyAlignment="1">
      <alignment horizontal="center" vertical="center"/>
    </xf>
    <xf numFmtId="10" fontId="59" fillId="0" borderId="0" xfId="144" applyNumberFormat="1" applyFont="1" applyFill="1" applyAlignment="1" applyProtection="1">
      <alignment horizontal="center" vertical="center"/>
    </xf>
    <xf numFmtId="164" fontId="58" fillId="0" borderId="0" xfId="190" applyFont="1" applyFill="1" applyBorder="1" applyAlignment="1">
      <alignment vertical="center" wrapText="1"/>
    </xf>
    <xf numFmtId="164" fontId="58" fillId="0" borderId="0" xfId="190" applyFont="1" applyBorder="1" applyAlignment="1">
      <alignment vertical="center" wrapText="1"/>
    </xf>
    <xf numFmtId="43" fontId="58" fillId="0" borderId="0" xfId="1" applyFont="1" applyFill="1" applyAlignment="1" applyProtection="1">
      <alignment vertical="center"/>
    </xf>
    <xf numFmtId="0" fontId="55" fillId="4" borderId="0" xfId="0" applyFont="1" applyFill="1" applyAlignment="1">
      <alignment vertical="center"/>
    </xf>
    <xf numFmtId="0" fontId="55" fillId="4" borderId="0" xfId="0" applyFont="1" applyFill="1" applyAlignment="1">
      <alignment horizontal="center" vertical="center"/>
    </xf>
    <xf numFmtId="0" fontId="58" fillId="4" borderId="0" xfId="7" applyFont="1" applyFill="1" applyAlignment="1">
      <alignment vertical="center"/>
    </xf>
    <xf numFmtId="0" fontId="60" fillId="4" borderId="0" xfId="10" applyFont="1" applyFill="1" applyAlignment="1">
      <alignment vertical="center"/>
    </xf>
    <xf numFmtId="1" fontId="60" fillId="4" borderId="0" xfId="10" applyNumberFormat="1" applyFont="1" applyFill="1" applyAlignment="1">
      <alignment horizontal="center" vertical="center"/>
    </xf>
    <xf numFmtId="43" fontId="60" fillId="4" borderId="0" xfId="1" applyFont="1" applyFill="1" applyBorder="1" applyAlignment="1">
      <alignment vertical="center"/>
    </xf>
    <xf numFmtId="4" fontId="60" fillId="4" borderId="0" xfId="10" applyNumberFormat="1" applyFont="1" applyFill="1" applyAlignment="1">
      <alignment vertical="center"/>
    </xf>
    <xf numFmtId="4" fontId="61" fillId="4" borderId="0" xfId="10" applyNumberFormat="1" applyFont="1" applyFill="1" applyAlignment="1">
      <alignment vertical="center"/>
    </xf>
    <xf numFmtId="43" fontId="61" fillId="4" borderId="0" xfId="1" applyFont="1" applyFill="1" applyBorder="1" applyAlignment="1">
      <alignment vertical="center"/>
    </xf>
    <xf numFmtId="4" fontId="55" fillId="4" borderId="0" xfId="0" applyNumberFormat="1" applyFont="1" applyFill="1" applyAlignment="1">
      <alignment vertical="center"/>
    </xf>
    <xf numFmtId="0" fontId="55" fillId="0" borderId="0" xfId="0" applyFont="1" applyAlignment="1">
      <alignment horizontal="justify" vertical="center"/>
    </xf>
    <xf numFmtId="0" fontId="55" fillId="0" borderId="0" xfId="0" applyFont="1" applyAlignment="1">
      <alignment horizontal="left" vertical="center"/>
    </xf>
    <xf numFmtId="0" fontId="55" fillId="0" borderId="95" xfId="0" applyFont="1" applyBorder="1" applyAlignment="1">
      <alignment horizontal="center" vertical="center" wrapText="1"/>
    </xf>
    <xf numFmtId="43" fontId="55" fillId="0" borderId="96" xfId="1" applyFont="1" applyBorder="1" applyAlignment="1">
      <alignment horizontal="center" vertical="center" wrapText="1"/>
    </xf>
    <xf numFmtId="0" fontId="55" fillId="0" borderId="94" xfId="0" applyFont="1" applyBorder="1" applyAlignment="1">
      <alignment horizontal="center" vertical="center" wrapText="1"/>
    </xf>
    <xf numFmtId="0" fontId="55" fillId="0" borderId="129" xfId="0" applyFont="1" applyBorder="1" applyAlignment="1">
      <alignment horizontal="center" vertical="center" wrapText="1"/>
    </xf>
    <xf numFmtId="0" fontId="55" fillId="0" borderId="98" xfId="0" applyFont="1" applyBorder="1" applyAlignment="1">
      <alignment horizontal="center" vertical="center" wrapText="1"/>
    </xf>
    <xf numFmtId="43" fontId="55" fillId="0" borderId="129" xfId="1" applyFont="1" applyBorder="1" applyAlignment="1">
      <alignment horizontal="center" vertical="center" wrapText="1"/>
    </xf>
    <xf numFmtId="0" fontId="55" fillId="4" borderId="0" xfId="0" applyFont="1" applyFill="1" applyAlignment="1">
      <alignment horizontal="left" vertical="center"/>
    </xf>
    <xf numFmtId="0" fontId="55" fillId="0" borderId="95" xfId="0" applyFont="1" applyBorder="1" applyAlignment="1">
      <alignment horizontal="justify" vertical="center" wrapText="1"/>
    </xf>
    <xf numFmtId="0" fontId="55" fillId="0" borderId="99" xfId="0" applyFont="1" applyBorder="1" applyAlignment="1">
      <alignment horizontal="center" vertical="center" wrapText="1"/>
    </xf>
    <xf numFmtId="0" fontId="55" fillId="0" borderId="100" xfId="0" applyFont="1" applyBorder="1" applyAlignment="1">
      <alignment horizontal="center" vertical="center" wrapText="1"/>
    </xf>
    <xf numFmtId="0" fontId="55" fillId="0" borderId="101" xfId="0" applyFont="1" applyBorder="1" applyAlignment="1">
      <alignment horizontal="justify" vertical="center" wrapText="1"/>
    </xf>
    <xf numFmtId="0" fontId="55" fillId="0" borderId="101" xfId="0" applyFont="1" applyBorder="1" applyAlignment="1">
      <alignment horizontal="center" vertical="center" wrapText="1"/>
    </xf>
    <xf numFmtId="43" fontId="55" fillId="0" borderId="102" xfId="1" applyFont="1" applyBorder="1" applyAlignment="1">
      <alignment horizontal="center" vertical="center" wrapText="1"/>
    </xf>
    <xf numFmtId="0" fontId="55" fillId="0" borderId="0" xfId="0" applyFont="1" applyAlignment="1">
      <alignment horizontal="left" vertical="center" wrapText="1"/>
    </xf>
    <xf numFmtId="0" fontId="55" fillId="0" borderId="0" xfId="0" applyFont="1" applyAlignment="1">
      <alignment horizontal="center" vertical="center" wrapText="1"/>
    </xf>
    <xf numFmtId="0" fontId="55" fillId="0" borderId="0" xfId="0" applyFont="1" applyAlignment="1">
      <alignment horizontal="justify" vertical="center" wrapText="1"/>
    </xf>
    <xf numFmtId="43" fontId="55" fillId="0" borderId="0" xfId="1" applyFont="1" applyBorder="1" applyAlignment="1">
      <alignment horizontal="center" vertical="center" wrapText="1"/>
    </xf>
    <xf numFmtId="0" fontId="55" fillId="4" borderId="0" xfId="0" applyFont="1" applyFill="1" applyAlignment="1">
      <alignment horizontal="right" vertical="center"/>
    </xf>
    <xf numFmtId="43" fontId="55" fillId="4" borderId="0" xfId="1" applyFont="1" applyFill="1" applyBorder="1" applyAlignment="1">
      <alignment horizontal="right" vertical="center"/>
    </xf>
    <xf numFmtId="0" fontId="55" fillId="0" borderId="6" xfId="0" applyFont="1" applyBorder="1" applyAlignment="1">
      <alignment horizontal="right" vertical="center"/>
    </xf>
    <xf numFmtId="0" fontId="55" fillId="0" borderId="17" xfId="0" applyFont="1" applyBorder="1" applyAlignment="1">
      <alignment horizontal="right" vertical="center"/>
    </xf>
    <xf numFmtId="0" fontId="55" fillId="0" borderId="90" xfId="0" applyFont="1" applyBorder="1" applyAlignment="1">
      <alignment horizontal="left" vertical="center"/>
    </xf>
    <xf numFmtId="0" fontId="55" fillId="0" borderId="41" xfId="0" applyFont="1" applyBorder="1" applyAlignment="1">
      <alignment horizontal="left" vertical="center"/>
    </xf>
    <xf numFmtId="0" fontId="55" fillId="0" borderId="71" xfId="0" applyFont="1" applyBorder="1" applyAlignment="1">
      <alignment horizontal="left" vertical="center"/>
    </xf>
    <xf numFmtId="43" fontId="55" fillId="0" borderId="16" xfId="1" applyFont="1" applyBorder="1" applyAlignment="1">
      <alignment horizontal="left" vertical="center"/>
    </xf>
    <xf numFmtId="0" fontId="62" fillId="0" borderId="0" xfId="0" applyFont="1" applyAlignment="1">
      <alignment horizontal="justify" vertical="center"/>
    </xf>
    <xf numFmtId="0" fontId="56" fillId="4" borderId="0" xfId="0" applyFont="1" applyFill="1" applyAlignment="1">
      <alignment vertical="center"/>
    </xf>
    <xf numFmtId="0" fontId="56" fillId="29" borderId="7" xfId="0" applyFont="1" applyFill="1" applyBorder="1" applyAlignment="1">
      <alignment vertical="center"/>
    </xf>
    <xf numFmtId="0" fontId="56" fillId="29" borderId="0" xfId="0" applyFont="1" applyFill="1" applyAlignment="1">
      <alignment vertical="center"/>
    </xf>
    <xf numFmtId="0" fontId="57" fillId="29" borderId="5" xfId="0" applyFont="1" applyFill="1" applyBorder="1" applyAlignment="1">
      <alignment horizontal="right" vertical="center"/>
    </xf>
    <xf numFmtId="43" fontId="56" fillId="29" borderId="132" xfId="1" applyFont="1" applyFill="1" applyBorder="1" applyAlignment="1">
      <alignment horizontal="left" vertical="center"/>
    </xf>
    <xf numFmtId="0" fontId="62" fillId="0" borderId="0" xfId="0" applyFont="1" applyAlignment="1">
      <alignment horizontal="left" vertical="center"/>
    </xf>
    <xf numFmtId="0" fontId="55" fillId="4" borderId="0" xfId="0" applyFont="1" applyFill="1" applyAlignment="1">
      <alignment horizontal="justify" vertical="center"/>
    </xf>
    <xf numFmtId="43" fontId="55" fillId="4" borderId="0" xfId="1" applyFont="1" applyFill="1" applyBorder="1" applyAlignment="1">
      <alignment horizontal="left" vertical="center"/>
    </xf>
    <xf numFmtId="0" fontId="55" fillId="0" borderId="8" xfId="0" applyFont="1" applyBorder="1" applyAlignment="1">
      <alignment horizontal="left" vertical="center"/>
    </xf>
    <xf numFmtId="0" fontId="55" fillId="0" borderId="9" xfId="0" applyFont="1" applyBorder="1" applyAlignment="1">
      <alignment horizontal="left" vertical="center"/>
    </xf>
    <xf numFmtId="0" fontId="55" fillId="0" borderId="14" xfId="0" applyFont="1" applyBorder="1" applyAlignment="1">
      <alignment horizontal="left" vertical="center"/>
    </xf>
    <xf numFmtId="0" fontId="55" fillId="0" borderId="42" xfId="0" applyFont="1" applyBorder="1" applyAlignment="1">
      <alignment horizontal="left" vertical="center"/>
    </xf>
    <xf numFmtId="0" fontId="55" fillId="0" borderId="66" xfId="0" applyFont="1" applyBorder="1" applyAlignment="1">
      <alignment horizontal="left" vertical="center"/>
    </xf>
    <xf numFmtId="43" fontId="55" fillId="0" borderId="10" xfId="1" applyFont="1" applyBorder="1" applyAlignment="1">
      <alignment horizontal="left" vertical="center"/>
    </xf>
    <xf numFmtId="43" fontId="55" fillId="0" borderId="0" xfId="1" applyFont="1" applyAlignment="1">
      <alignment horizontal="left" vertical="center"/>
    </xf>
    <xf numFmtId="43" fontId="55" fillId="0" borderId="0" xfId="0" applyNumberFormat="1" applyFont="1" applyAlignment="1">
      <alignment horizontal="left" vertical="center"/>
    </xf>
    <xf numFmtId="0" fontId="34" fillId="0" borderId="8" xfId="0" applyFont="1" applyBorder="1" applyAlignment="1">
      <alignment vertical="center"/>
    </xf>
    <xf numFmtId="0" fontId="34" fillId="0" borderId="9" xfId="0" applyFont="1" applyBorder="1" applyAlignment="1">
      <alignment vertical="center"/>
    </xf>
    <xf numFmtId="0" fontId="34" fillId="0" borderId="14" xfId="0" applyFont="1" applyBorder="1" applyAlignment="1">
      <alignment vertical="center"/>
    </xf>
    <xf numFmtId="0" fontId="34" fillId="0" borderId="141" xfId="0" applyFont="1" applyBorder="1" applyAlignment="1">
      <alignment vertical="center"/>
    </xf>
    <xf numFmtId="0" fontId="34" fillId="0" borderId="10" xfId="0" applyFont="1" applyBorder="1" applyAlignment="1">
      <alignment vertical="center"/>
    </xf>
    <xf numFmtId="43" fontId="30" fillId="0" borderId="0" xfId="0" applyNumberFormat="1" applyFont="1" applyAlignment="1">
      <alignment vertical="center"/>
    </xf>
    <xf numFmtId="0" fontId="48" fillId="0" borderId="92" xfId="0" applyFont="1" applyBorder="1" applyAlignment="1">
      <alignment horizontal="center" vertical="center" wrapText="1"/>
    </xf>
    <xf numFmtId="43" fontId="40" fillId="0" borderId="92" xfId="1" applyFont="1" applyBorder="1" applyAlignment="1">
      <alignment horizontal="center" vertical="center" wrapText="1"/>
    </xf>
    <xf numFmtId="43" fontId="42" fillId="0" borderId="0" xfId="0" applyNumberFormat="1" applyFont="1" applyAlignment="1">
      <alignment horizontal="left" vertical="center"/>
    </xf>
    <xf numFmtId="43" fontId="7" fillId="0" borderId="0" xfId="1" applyFont="1" applyAlignment="1" applyProtection="1">
      <alignment vertical="center"/>
    </xf>
    <xf numFmtId="43" fontId="42" fillId="0" borderId="0" xfId="1" applyFont="1" applyAlignment="1">
      <alignment horizontal="left" vertical="center"/>
    </xf>
    <xf numFmtId="180" fontId="42" fillId="0" borderId="0" xfId="0" applyNumberFormat="1" applyFont="1" applyAlignment="1">
      <alignment horizontal="left" vertical="center"/>
    </xf>
    <xf numFmtId="179" fontId="59" fillId="0" borderId="0" xfId="1" applyNumberFormat="1" applyFont="1" applyBorder="1" applyAlignment="1">
      <alignment vertical="center"/>
    </xf>
    <xf numFmtId="43" fontId="30" fillId="0" borderId="0" xfId="1" applyFont="1" applyFill="1" applyAlignment="1" applyProtection="1">
      <alignment horizontal="right" vertical="center"/>
    </xf>
    <xf numFmtId="43" fontId="34" fillId="0" borderId="0" xfId="1" applyFont="1" applyFill="1" applyAlignment="1" applyProtection="1">
      <alignment horizontal="center" vertical="center"/>
    </xf>
    <xf numFmtId="4" fontId="30" fillId="0" borderId="0" xfId="0" applyNumberFormat="1" applyFont="1" applyAlignment="1">
      <alignment vertical="center"/>
    </xf>
    <xf numFmtId="173" fontId="39" fillId="0" borderId="0" xfId="92" applyFont="1" applyAlignment="1">
      <alignment vertical="center"/>
    </xf>
    <xf numFmtId="173" fontId="7" fillId="0" borderId="0" xfId="92" applyFont="1" applyAlignment="1">
      <alignment vertical="center"/>
    </xf>
    <xf numFmtId="43" fontId="0" fillId="0" borderId="0" xfId="1" applyFont="1" applyAlignment="1">
      <alignment vertical="center"/>
    </xf>
    <xf numFmtId="43" fontId="39" fillId="0" borderId="0" xfId="1" applyFont="1" applyFill="1" applyAlignment="1" applyProtection="1">
      <alignment vertical="center"/>
    </xf>
    <xf numFmtId="43" fontId="7" fillId="0" borderId="0" xfId="1" applyFont="1" applyFill="1" applyAlignment="1" applyProtection="1">
      <alignment vertical="center"/>
    </xf>
    <xf numFmtId="43" fontId="31" fillId="4" borderId="0" xfId="1" applyFont="1" applyFill="1" applyBorder="1" applyAlignment="1">
      <alignment vertical="center"/>
    </xf>
    <xf numFmtId="173" fontId="44" fillId="3" borderId="0" xfId="92" applyFont="1" applyFill="1" applyAlignment="1">
      <alignment vertical="center" wrapText="1"/>
    </xf>
    <xf numFmtId="173" fontId="30" fillId="0" borderId="0" xfId="92" applyFont="1" applyAlignment="1">
      <alignment vertical="center" wrapText="1"/>
    </xf>
    <xf numFmtId="173" fontId="36" fillId="0" borderId="0" xfId="92" applyFont="1" applyAlignment="1">
      <alignment vertical="center"/>
    </xf>
    <xf numFmtId="43" fontId="36" fillId="0" borderId="0" xfId="1" applyFont="1" applyFill="1" applyAlignment="1" applyProtection="1">
      <alignment vertical="center"/>
    </xf>
    <xf numFmtId="164" fontId="30" fillId="0" borderId="7" xfId="190" applyFont="1" applyFill="1" applyBorder="1" applyAlignment="1" applyProtection="1">
      <alignment vertical="center" wrapText="1"/>
    </xf>
    <xf numFmtId="164" fontId="30" fillId="0" borderId="15" xfId="190" applyFont="1" applyFill="1" applyBorder="1" applyAlignment="1" applyProtection="1">
      <alignment vertical="center" wrapText="1"/>
    </xf>
    <xf numFmtId="173" fontId="34" fillId="0" borderId="7" xfId="92" applyFont="1" applyBorder="1" applyAlignment="1">
      <alignment horizontal="left" vertical="center"/>
    </xf>
    <xf numFmtId="173" fontId="34" fillId="0" borderId="0" xfId="92" applyFont="1" applyAlignment="1">
      <alignment horizontal="left" vertical="center" wrapText="1"/>
    </xf>
    <xf numFmtId="43" fontId="38" fillId="0" borderId="0" xfId="1" applyFont="1" applyFill="1" applyAlignment="1" applyProtection="1">
      <alignment vertical="center"/>
    </xf>
    <xf numFmtId="164" fontId="30" fillId="0" borderId="8" xfId="190" applyFont="1" applyFill="1" applyBorder="1" applyAlignment="1" applyProtection="1">
      <alignment vertical="center" wrapText="1"/>
    </xf>
    <xf numFmtId="164" fontId="30" fillId="0" borderId="9" xfId="190" applyFont="1" applyFill="1" applyBorder="1" applyAlignment="1" applyProtection="1">
      <alignment vertical="center" wrapText="1"/>
    </xf>
    <xf numFmtId="164" fontId="30" fillId="0" borderId="10" xfId="190" applyFont="1" applyFill="1" applyBorder="1" applyAlignment="1" applyProtection="1">
      <alignment vertical="center" wrapText="1"/>
    </xf>
    <xf numFmtId="43" fontId="30" fillId="0" borderId="0" xfId="1" applyFont="1" applyFill="1" applyBorder="1" applyAlignment="1" applyProtection="1">
      <alignment vertical="center"/>
    </xf>
    <xf numFmtId="0" fontId="34" fillId="0" borderId="0" xfId="152" applyFont="1" applyAlignment="1">
      <alignment horizontal="center" vertical="center"/>
    </xf>
    <xf numFmtId="9" fontId="30" fillId="0" borderId="0" xfId="195" applyFont="1" applyFill="1" applyBorder="1" applyAlignment="1" applyProtection="1">
      <alignment horizontal="center" vertical="center"/>
    </xf>
    <xf numFmtId="173" fontId="34" fillId="28" borderId="8" xfId="92" applyFont="1" applyFill="1" applyBorder="1" applyAlignment="1">
      <alignment horizontal="left" vertical="center"/>
    </xf>
    <xf numFmtId="173" fontId="34" fillId="28" borderId="9" xfId="92" applyFont="1" applyFill="1" applyBorder="1" applyAlignment="1">
      <alignment horizontal="center" vertical="center"/>
    </xf>
    <xf numFmtId="177" fontId="34" fillId="0" borderId="0" xfId="195" applyNumberFormat="1" applyFont="1" applyFill="1" applyBorder="1" applyAlignment="1" applyProtection="1">
      <alignment horizontal="center" vertical="center"/>
    </xf>
    <xf numFmtId="43" fontId="7" fillId="0" borderId="0" xfId="1" applyFont="1" applyFill="1" applyBorder="1" applyAlignment="1" applyProtection="1">
      <alignment vertical="center"/>
    </xf>
    <xf numFmtId="9" fontId="7" fillId="0" borderId="0" xfId="144" applyFont="1" applyAlignment="1" applyProtection="1">
      <alignment vertical="center"/>
    </xf>
    <xf numFmtId="10" fontId="7" fillId="0" borderId="0" xfId="144" applyNumberFormat="1" applyFont="1" applyAlignment="1" applyProtection="1">
      <alignment vertical="center"/>
    </xf>
    <xf numFmtId="0" fontId="34" fillId="0" borderId="0" xfId="152" applyFont="1" applyAlignment="1">
      <alignment horizontal="left" vertical="center"/>
    </xf>
    <xf numFmtId="0" fontId="34" fillId="0" borderId="0" xfId="152" applyFont="1" applyAlignment="1">
      <alignment vertical="center"/>
    </xf>
    <xf numFmtId="173" fontId="46" fillId="0" borderId="0" xfId="92" applyFont="1" applyAlignment="1">
      <alignment vertical="center"/>
    </xf>
    <xf numFmtId="43" fontId="13" fillId="0" borderId="0" xfId="1" applyFont="1" applyAlignment="1" applyProtection="1">
      <alignment vertical="center"/>
    </xf>
    <xf numFmtId="0" fontId="30" fillId="0" borderId="0" xfId="152" applyFont="1" applyAlignment="1">
      <alignment horizontal="left" vertical="center"/>
    </xf>
    <xf numFmtId="173" fontId="44" fillId="0" borderId="0" xfId="92" applyFont="1" applyAlignment="1">
      <alignment vertical="center" wrapText="1"/>
    </xf>
    <xf numFmtId="10" fontId="34" fillId="0" borderId="0" xfId="144" applyNumberFormat="1" applyFont="1" applyFill="1" applyBorder="1" applyAlignment="1" applyProtection="1">
      <alignment horizontal="center" vertical="center"/>
    </xf>
    <xf numFmtId="173" fontId="35" fillId="0" borderId="0" xfId="92" applyFont="1" applyAlignment="1">
      <alignment vertical="center"/>
    </xf>
    <xf numFmtId="173" fontId="37" fillId="0" borderId="0" xfId="92" applyFont="1" applyAlignment="1">
      <alignment vertical="center"/>
    </xf>
    <xf numFmtId="173" fontId="38" fillId="0" borderId="0" xfId="92" applyFont="1" applyAlignment="1">
      <alignment vertical="center"/>
    </xf>
    <xf numFmtId="43" fontId="57" fillId="0" borderId="17" xfId="0" applyNumberFormat="1" applyFont="1" applyBorder="1" applyAlignment="1">
      <alignment horizontal="left" vertical="center"/>
    </xf>
    <xf numFmtId="43" fontId="57" fillId="0" borderId="16" xfId="1" applyFont="1" applyBorder="1" applyAlignment="1">
      <alignment horizontal="left" vertical="center"/>
    </xf>
    <xf numFmtId="0" fontId="57" fillId="0" borderId="0" xfId="0" applyFont="1" applyAlignment="1">
      <alignment horizontal="right" vertical="center"/>
    </xf>
    <xf numFmtId="10" fontId="57" fillId="0" borderId="0" xfId="144" applyNumberFormat="1" applyFont="1" applyBorder="1" applyAlignment="1">
      <alignment horizontal="right" vertical="center"/>
    </xf>
    <xf numFmtId="0" fontId="55" fillId="0" borderId="15" xfId="0" applyFont="1" applyBorder="1" applyAlignment="1">
      <alignment horizontal="left" vertical="center"/>
    </xf>
    <xf numFmtId="0" fontId="56" fillId="0" borderId="10" xfId="0" applyFont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34" fillId="0" borderId="0" xfId="0" applyFont="1" applyAlignment="1">
      <alignment vertical="center" wrapText="1"/>
    </xf>
    <xf numFmtId="0" fontId="30" fillId="4" borderId="0" xfId="0" applyFont="1" applyFill="1" applyAlignment="1">
      <alignment vertical="center"/>
    </xf>
    <xf numFmtId="0" fontId="30" fillId="28" borderId="27" xfId="0" applyFont="1" applyFill="1" applyBorder="1" applyAlignment="1">
      <alignment horizontal="center" vertical="center" wrapText="1"/>
    </xf>
    <xf numFmtId="0" fontId="30" fillId="28" borderId="142" xfId="0" applyFont="1" applyFill="1" applyBorder="1" applyAlignment="1">
      <alignment horizontal="center" vertical="center" wrapText="1"/>
    </xf>
    <xf numFmtId="0" fontId="30" fillId="4" borderId="105" xfId="0" applyFont="1" applyFill="1" applyBorder="1" applyAlignment="1">
      <alignment horizontal="center" vertical="center" wrapText="1"/>
    </xf>
    <xf numFmtId="0" fontId="30" fillId="4" borderId="144" xfId="0" applyFont="1" applyFill="1" applyBorder="1" applyAlignment="1">
      <alignment horizontal="left" vertical="center" wrapText="1"/>
    </xf>
    <xf numFmtId="10" fontId="30" fillId="4" borderId="144" xfId="0" applyNumberFormat="1" applyFont="1" applyFill="1" applyBorder="1" applyAlignment="1">
      <alignment horizontal="center" vertical="center" shrinkToFit="1"/>
    </xf>
    <xf numFmtId="10" fontId="30" fillId="4" borderId="145" xfId="0" applyNumberFormat="1" applyFont="1" applyFill="1" applyBorder="1" applyAlignment="1">
      <alignment horizontal="center" vertical="center" shrinkToFit="1"/>
    </xf>
    <xf numFmtId="0" fontId="34" fillId="4" borderId="105" xfId="0" applyFont="1" applyFill="1" applyBorder="1" applyAlignment="1">
      <alignment horizontal="center" vertical="center" wrapText="1"/>
    </xf>
    <xf numFmtId="0" fontId="34" fillId="4" borderId="144" xfId="0" applyFont="1" applyFill="1" applyBorder="1" applyAlignment="1">
      <alignment horizontal="center" vertical="center" wrapText="1"/>
    </xf>
    <xf numFmtId="10" fontId="34" fillId="4" borderId="144" xfId="0" applyNumberFormat="1" applyFont="1" applyFill="1" applyBorder="1" applyAlignment="1">
      <alignment horizontal="center" vertical="center" shrinkToFit="1"/>
    </xf>
    <xf numFmtId="10" fontId="34" fillId="4" borderId="145" xfId="0" applyNumberFormat="1" applyFont="1" applyFill="1" applyBorder="1" applyAlignment="1">
      <alignment horizontal="center" vertical="center" shrinkToFit="1"/>
    </xf>
    <xf numFmtId="0" fontId="30" fillId="4" borderId="144" xfId="0" applyFont="1" applyFill="1" applyBorder="1" applyAlignment="1">
      <alignment horizontal="center" vertical="center" wrapText="1"/>
    </xf>
    <xf numFmtId="0" fontId="30" fillId="4" borderId="144" xfId="0" applyFont="1" applyFill="1" applyBorder="1" applyAlignment="1">
      <alignment horizontal="justify" vertical="center" wrapText="1"/>
    </xf>
    <xf numFmtId="10" fontId="34" fillId="28" borderId="27" xfId="0" applyNumberFormat="1" applyFont="1" applyFill="1" applyBorder="1" applyAlignment="1">
      <alignment horizontal="center" vertical="center" shrinkToFit="1"/>
    </xf>
    <xf numFmtId="10" fontId="34" fillId="28" borderId="142" xfId="0" applyNumberFormat="1" applyFont="1" applyFill="1" applyBorder="1" applyAlignment="1">
      <alignment horizontal="center" vertical="center" shrinkToFit="1"/>
    </xf>
    <xf numFmtId="43" fontId="30" fillId="0" borderId="0" xfId="1" applyFont="1" applyAlignment="1">
      <alignment horizontal="left" vertical="center"/>
    </xf>
    <xf numFmtId="0" fontId="1" fillId="0" borderId="0" xfId="0" applyFont="1" applyAlignment="1">
      <alignment vertical="center"/>
    </xf>
    <xf numFmtId="0" fontId="52" fillId="4" borderId="0" xfId="9" quotePrefix="1" applyFont="1" applyFill="1" applyAlignment="1">
      <alignment vertical="center"/>
    </xf>
    <xf numFmtId="0" fontId="52" fillId="4" borderId="0" xfId="0" applyFont="1" applyFill="1" applyAlignment="1">
      <alignment vertical="center"/>
    </xf>
    <xf numFmtId="4" fontId="34" fillId="4" borderId="39" xfId="26" applyNumberFormat="1" applyFont="1" applyFill="1" applyBorder="1" applyAlignment="1">
      <alignment vertical="center"/>
    </xf>
    <xf numFmtId="0" fontId="53" fillId="30" borderId="94" xfId="0" applyFont="1" applyFill="1" applyBorder="1" applyAlignment="1">
      <alignment horizontal="center" vertical="center" wrapText="1"/>
    </xf>
    <xf numFmtId="0" fontId="54" fillId="30" borderId="95" xfId="0" applyFont="1" applyFill="1" applyBorder="1" applyAlignment="1">
      <alignment horizontal="center" vertical="center" wrapText="1"/>
    </xf>
    <xf numFmtId="0" fontId="53" fillId="30" borderId="95" xfId="0" applyFont="1" applyFill="1" applyBorder="1" applyAlignment="1">
      <alignment horizontal="justify" vertical="center" wrapText="1"/>
    </xf>
    <xf numFmtId="0" fontId="55" fillId="30" borderId="95" xfId="0" applyFont="1" applyFill="1" applyBorder="1" applyAlignment="1">
      <alignment horizontal="center" vertical="center" wrapText="1"/>
    </xf>
    <xf numFmtId="43" fontId="55" fillId="30" borderId="96" xfId="1" applyFont="1" applyFill="1" applyBorder="1" applyAlignment="1">
      <alignment horizontal="center" vertical="center" wrapText="1"/>
    </xf>
    <xf numFmtId="0" fontId="55" fillId="30" borderId="94" xfId="0" applyFont="1" applyFill="1" applyBorder="1" applyAlignment="1">
      <alignment horizontal="center" vertical="center" wrapText="1"/>
    </xf>
    <xf numFmtId="0" fontId="55" fillId="30" borderId="129" xfId="0" applyFont="1" applyFill="1" applyBorder="1" applyAlignment="1">
      <alignment horizontal="center" vertical="center" wrapText="1"/>
    </xf>
    <xf numFmtId="10" fontId="57" fillId="30" borderId="97" xfId="144" applyNumberFormat="1" applyFont="1" applyFill="1" applyBorder="1" applyAlignment="1">
      <alignment horizontal="right" vertical="center"/>
    </xf>
    <xf numFmtId="43" fontId="57" fillId="30" borderId="129" xfId="200" applyNumberFormat="1" applyFont="1" applyFill="1" applyBorder="1" applyAlignment="1">
      <alignment horizontal="center" vertical="center" wrapText="1"/>
    </xf>
    <xf numFmtId="43" fontId="55" fillId="30" borderId="94" xfId="200" applyNumberFormat="1" applyFont="1" applyFill="1" applyBorder="1" applyAlignment="1">
      <alignment horizontal="center" vertical="center" wrapText="1"/>
    </xf>
    <xf numFmtId="43" fontId="55" fillId="30" borderId="95" xfId="200" applyNumberFormat="1" applyFont="1" applyFill="1" applyBorder="1" applyAlignment="1">
      <alignment horizontal="center" vertical="center" wrapText="1"/>
    </xf>
    <xf numFmtId="4" fontId="57" fillId="30" borderId="98" xfId="0" applyNumberFormat="1" applyFont="1" applyFill="1" applyBorder="1" applyAlignment="1">
      <alignment horizontal="center" vertical="center" wrapText="1"/>
    </xf>
    <xf numFmtId="0" fontId="57" fillId="30" borderId="94" xfId="0" applyFont="1" applyFill="1" applyBorder="1" applyAlignment="1">
      <alignment horizontal="center" vertical="center" wrapText="1"/>
    </xf>
    <xf numFmtId="0" fontId="57" fillId="30" borderId="95" xfId="0" applyFont="1" applyFill="1" applyBorder="1" applyAlignment="1">
      <alignment horizontal="center" vertical="center" wrapText="1"/>
    </xf>
    <xf numFmtId="0" fontId="57" fillId="30" borderId="129" xfId="0" applyFont="1" applyFill="1" applyBorder="1" applyAlignment="1">
      <alignment horizontal="center" vertical="center" wrapText="1"/>
    </xf>
    <xf numFmtId="0" fontId="53" fillId="36" borderId="94" xfId="0" applyFont="1" applyFill="1" applyBorder="1" applyAlignment="1">
      <alignment horizontal="center" vertical="center" wrapText="1"/>
    </xf>
    <xf numFmtId="0" fontId="54" fillId="36" borderId="95" xfId="0" applyFont="1" applyFill="1" applyBorder="1" applyAlignment="1">
      <alignment horizontal="center" vertical="center" wrapText="1"/>
    </xf>
    <xf numFmtId="0" fontId="53" fillId="36" borderId="95" xfId="0" applyFont="1" applyFill="1" applyBorder="1" applyAlignment="1">
      <alignment horizontal="justify" vertical="center" wrapText="1"/>
    </xf>
    <xf numFmtId="0" fontId="55" fillId="36" borderId="95" xfId="0" applyFont="1" applyFill="1" applyBorder="1" applyAlignment="1">
      <alignment horizontal="center" vertical="center" wrapText="1"/>
    </xf>
    <xf numFmtId="43" fontId="55" fillId="36" borderId="96" xfId="1" applyFont="1" applyFill="1" applyBorder="1" applyAlignment="1">
      <alignment horizontal="center" vertical="center" wrapText="1"/>
    </xf>
    <xf numFmtId="0" fontId="55" fillId="36" borderId="94" xfId="0" applyFont="1" applyFill="1" applyBorder="1" applyAlignment="1">
      <alignment horizontal="center" vertical="center" wrapText="1"/>
    </xf>
    <xf numFmtId="0" fontId="55" fillId="36" borderId="129" xfId="0" applyFont="1" applyFill="1" applyBorder="1" applyAlignment="1">
      <alignment horizontal="center" vertical="center" wrapText="1"/>
    </xf>
    <xf numFmtId="4" fontId="57" fillId="36" borderId="98" xfId="0" applyNumberFormat="1" applyFont="1" applyFill="1" applyBorder="1" applyAlignment="1">
      <alignment horizontal="center" vertical="center" wrapText="1"/>
    </xf>
    <xf numFmtId="10" fontId="57" fillId="36" borderId="97" xfId="144" applyNumberFormat="1" applyFont="1" applyFill="1" applyBorder="1" applyAlignment="1">
      <alignment horizontal="right" vertical="center"/>
    </xf>
    <xf numFmtId="4" fontId="54" fillId="36" borderId="94" xfId="0" applyNumberFormat="1" applyFont="1" applyFill="1" applyBorder="1" applyAlignment="1">
      <alignment vertical="center" wrapText="1"/>
    </xf>
    <xf numFmtId="4" fontId="54" fillId="36" borderId="95" xfId="0" applyNumberFormat="1" applyFont="1" applyFill="1" applyBorder="1" applyAlignment="1">
      <alignment horizontal="right" vertical="center" wrapText="1"/>
    </xf>
    <xf numFmtId="4" fontId="54" fillId="36" borderId="129" xfId="0" applyNumberFormat="1" applyFont="1" applyFill="1" applyBorder="1" applyAlignment="1">
      <alignment horizontal="right" vertical="center" wrapText="1"/>
    </xf>
    <xf numFmtId="4" fontId="54" fillId="30" borderId="94" xfId="0" applyNumberFormat="1" applyFont="1" applyFill="1" applyBorder="1" applyAlignment="1">
      <alignment vertical="center" wrapText="1"/>
    </xf>
    <xf numFmtId="4" fontId="54" fillId="30" borderId="95" xfId="0" applyNumberFormat="1" applyFont="1" applyFill="1" applyBorder="1" applyAlignment="1">
      <alignment horizontal="right" vertical="center" wrapText="1"/>
    </xf>
    <xf numFmtId="4" fontId="54" fillId="30" borderId="129" xfId="0" applyNumberFormat="1" applyFont="1" applyFill="1" applyBorder="1" applyAlignment="1">
      <alignment horizontal="right" vertical="center" wrapText="1"/>
    </xf>
    <xf numFmtId="0" fontId="53" fillId="30" borderId="95" xfId="0" applyFont="1" applyFill="1" applyBorder="1" applyAlignment="1">
      <alignment horizontal="center" vertical="center" wrapText="1"/>
    </xf>
    <xf numFmtId="43" fontId="57" fillId="30" borderId="96" xfId="1" applyFont="1" applyFill="1" applyBorder="1" applyAlignment="1">
      <alignment horizontal="center" vertical="center" wrapText="1"/>
    </xf>
    <xf numFmtId="4" fontId="53" fillId="30" borderId="94" xfId="0" applyNumberFormat="1" applyFont="1" applyFill="1" applyBorder="1" applyAlignment="1">
      <alignment vertical="center" wrapText="1"/>
    </xf>
    <xf numFmtId="4" fontId="53" fillId="30" borderId="95" xfId="0" applyNumberFormat="1" applyFont="1" applyFill="1" applyBorder="1" applyAlignment="1">
      <alignment horizontal="right" vertical="center" wrapText="1"/>
    </xf>
    <xf numFmtId="4" fontId="53" fillId="30" borderId="129" xfId="0" applyNumberFormat="1" applyFont="1" applyFill="1" applyBorder="1" applyAlignment="1">
      <alignment horizontal="right" vertical="center" wrapText="1"/>
    </xf>
    <xf numFmtId="43" fontId="54" fillId="36" borderId="96" xfId="1" applyFont="1" applyFill="1" applyBorder="1" applyAlignment="1">
      <alignment horizontal="right" vertical="center" wrapText="1"/>
    </xf>
    <xf numFmtId="0" fontId="53" fillId="36" borderId="95" xfId="0" applyFont="1" applyFill="1" applyBorder="1" applyAlignment="1">
      <alignment horizontal="center" vertical="center" wrapText="1"/>
    </xf>
    <xf numFmtId="1" fontId="53" fillId="36" borderId="95" xfId="0" applyNumberFormat="1" applyFont="1" applyFill="1" applyBorder="1" applyAlignment="1">
      <alignment horizontal="center" vertical="center" wrapText="1"/>
    </xf>
    <xf numFmtId="3" fontId="53" fillId="36" borderId="94" xfId="0" applyNumberFormat="1" applyFont="1" applyFill="1" applyBorder="1" applyAlignment="1">
      <alignment horizontal="center" vertical="center" wrapText="1"/>
    </xf>
    <xf numFmtId="2" fontId="55" fillId="0" borderId="95" xfId="0" applyNumberFormat="1" applyFont="1" applyBorder="1" applyAlignment="1">
      <alignment horizontal="center" vertical="center" wrapText="1"/>
    </xf>
    <xf numFmtId="0" fontId="64" fillId="32" borderId="138" xfId="0" applyFont="1" applyFill="1" applyBorder="1" applyAlignment="1">
      <alignment horizontal="right" vertical="top" wrapText="1"/>
    </xf>
    <xf numFmtId="0" fontId="64" fillId="32" borderId="138" xfId="0" applyFont="1" applyFill="1" applyBorder="1" applyAlignment="1">
      <alignment horizontal="center" vertical="top" wrapText="1"/>
    </xf>
    <xf numFmtId="0" fontId="65" fillId="33" borderId="138" xfId="0" applyFont="1" applyFill="1" applyBorder="1" applyAlignment="1">
      <alignment horizontal="right" vertical="top" wrapText="1"/>
    </xf>
    <xf numFmtId="0" fontId="65" fillId="33" borderId="138" xfId="0" applyFont="1" applyFill="1" applyBorder="1" applyAlignment="1">
      <alignment horizontal="center" vertical="top" wrapText="1"/>
    </xf>
    <xf numFmtId="178" fontId="65" fillId="33" borderId="138" xfId="0" applyNumberFormat="1" applyFont="1" applyFill="1" applyBorder="1" applyAlignment="1">
      <alignment horizontal="right" vertical="top" wrapText="1"/>
    </xf>
    <xf numFmtId="4" fontId="65" fillId="33" borderId="138" xfId="0" applyNumberFormat="1" applyFont="1" applyFill="1" applyBorder="1" applyAlignment="1">
      <alignment horizontal="right" vertical="top" wrapText="1"/>
    </xf>
    <xf numFmtId="0" fontId="66" fillId="34" borderId="138" xfId="0" applyFont="1" applyFill="1" applyBorder="1" applyAlignment="1">
      <alignment horizontal="right" vertical="top" wrapText="1"/>
    </xf>
    <xf numFmtId="0" fontId="66" fillId="34" borderId="138" xfId="0" applyFont="1" applyFill="1" applyBorder="1" applyAlignment="1">
      <alignment horizontal="center" vertical="top" wrapText="1"/>
    </xf>
    <xf numFmtId="178" fontId="66" fillId="34" borderId="138" xfId="0" applyNumberFormat="1" applyFont="1" applyFill="1" applyBorder="1" applyAlignment="1">
      <alignment horizontal="right" vertical="top" wrapText="1"/>
    </xf>
    <xf numFmtId="4" fontId="66" fillId="34" borderId="138" xfId="0" applyNumberFormat="1" applyFont="1" applyFill="1" applyBorder="1" applyAlignment="1">
      <alignment horizontal="right" vertical="top" wrapText="1"/>
    </xf>
    <xf numFmtId="0" fontId="66" fillId="35" borderId="138" xfId="0" applyFont="1" applyFill="1" applyBorder="1" applyAlignment="1">
      <alignment horizontal="right" vertical="top" wrapText="1"/>
    </xf>
    <xf numFmtId="0" fontId="66" fillId="35" borderId="138" xfId="0" applyFont="1" applyFill="1" applyBorder="1" applyAlignment="1">
      <alignment horizontal="center" vertical="top" wrapText="1"/>
    </xf>
    <xf numFmtId="178" fontId="66" fillId="35" borderId="138" xfId="0" applyNumberFormat="1" applyFont="1" applyFill="1" applyBorder="1" applyAlignment="1">
      <alignment horizontal="right" vertical="top" wrapText="1"/>
    </xf>
    <xf numFmtId="4" fontId="66" fillId="35" borderId="138" xfId="0" applyNumberFormat="1" applyFont="1" applyFill="1" applyBorder="1" applyAlignment="1">
      <alignment horizontal="right" vertical="top" wrapText="1"/>
    </xf>
    <xf numFmtId="4" fontId="66" fillId="32" borderId="0" xfId="0" applyNumberFormat="1" applyFont="1" applyFill="1" applyAlignment="1">
      <alignment horizontal="right" vertical="top" wrapText="1"/>
    </xf>
    <xf numFmtId="0" fontId="65" fillId="33" borderId="139" xfId="0" applyFont="1" applyFill="1" applyBorder="1" applyAlignment="1">
      <alignment horizontal="left" vertical="top" wrapText="1"/>
    </xf>
    <xf numFmtId="43" fontId="40" fillId="0" borderId="149" xfId="1" applyFont="1" applyBorder="1" applyAlignment="1">
      <alignment horizontal="center" vertical="center" wrapText="1"/>
    </xf>
    <xf numFmtId="9" fontId="41" fillId="29" borderId="59" xfId="144" applyFont="1" applyFill="1" applyBorder="1" applyAlignment="1">
      <alignment horizontal="left" vertical="center"/>
    </xf>
    <xf numFmtId="43" fontId="40" fillId="0" borderId="152" xfId="1" applyFont="1" applyBorder="1" applyAlignment="1">
      <alignment horizontal="center" vertical="center" wrapText="1"/>
    </xf>
    <xf numFmtId="43" fontId="40" fillId="0" borderId="153" xfId="1" applyFont="1" applyBorder="1" applyAlignment="1">
      <alignment horizontal="center" vertical="center" wrapText="1"/>
    </xf>
    <xf numFmtId="43" fontId="40" fillId="0" borderId="88" xfId="1" applyFont="1" applyBorder="1" applyAlignment="1">
      <alignment horizontal="center" vertical="center" wrapText="1"/>
    </xf>
    <xf numFmtId="10" fontId="40" fillId="0" borderId="154" xfId="144" applyNumberFormat="1" applyFont="1" applyBorder="1" applyAlignment="1">
      <alignment horizontal="right" vertical="center"/>
    </xf>
    <xf numFmtId="10" fontId="40" fillId="0" borderId="155" xfId="144" applyNumberFormat="1" applyFont="1" applyBorder="1" applyAlignment="1">
      <alignment horizontal="right" vertical="center"/>
    </xf>
    <xf numFmtId="164" fontId="30" fillId="0" borderId="113" xfId="22" applyFont="1" applyFill="1" applyBorder="1" applyAlignment="1">
      <alignment horizontal="center" vertical="center"/>
    </xf>
    <xf numFmtId="164" fontId="30" fillId="0" borderId="114" xfId="22" applyFont="1" applyFill="1" applyBorder="1" applyAlignment="1">
      <alignment horizontal="center" vertical="center"/>
    </xf>
    <xf numFmtId="164" fontId="30" fillId="0" borderId="25" xfId="22" applyFont="1" applyFill="1" applyBorder="1" applyAlignment="1">
      <alignment horizontal="center" vertical="center"/>
    </xf>
    <xf numFmtId="164" fontId="30" fillId="31" borderId="25" xfId="22" applyFont="1" applyFill="1" applyBorder="1" applyAlignment="1">
      <alignment vertical="center"/>
    </xf>
    <xf numFmtId="164" fontId="30" fillId="31" borderId="113" xfId="22" applyFont="1" applyFill="1" applyBorder="1" applyAlignment="1">
      <alignment vertical="center"/>
    </xf>
    <xf numFmtId="164" fontId="30" fillId="31" borderId="114" xfId="22" applyFont="1" applyFill="1" applyBorder="1" applyAlignment="1">
      <alignment vertical="center"/>
    </xf>
    <xf numFmtId="164" fontId="30" fillId="0" borderId="114" xfId="22" applyFont="1" applyFill="1" applyBorder="1" applyAlignment="1">
      <alignment vertical="center"/>
    </xf>
    <xf numFmtId="0" fontId="55" fillId="0" borderId="94" xfId="0" applyFont="1" applyBorder="1" applyAlignment="1">
      <alignment horizontal="right" vertical="center" wrapText="1"/>
    </xf>
    <xf numFmtId="0" fontId="55" fillId="0" borderId="95" xfId="0" applyFont="1" applyBorder="1" applyAlignment="1">
      <alignment horizontal="right" vertical="center" wrapText="1"/>
    </xf>
    <xf numFmtId="4" fontId="54" fillId="0" borderId="94" xfId="0" applyNumberFormat="1" applyFont="1" applyBorder="1" applyAlignment="1">
      <alignment horizontal="right" vertical="center" wrapText="1"/>
    </xf>
    <xf numFmtId="0" fontId="53" fillId="29" borderId="156" xfId="0" applyFont="1" applyFill="1" applyBorder="1" applyAlignment="1">
      <alignment horizontal="center" vertical="center"/>
    </xf>
    <xf numFmtId="0" fontId="55" fillId="0" borderId="0" xfId="0" applyFont="1"/>
    <xf numFmtId="0" fontId="55" fillId="0" borderId="95" xfId="0" applyFont="1" applyBorder="1"/>
    <xf numFmtId="0" fontId="54" fillId="0" borderId="0" xfId="0" applyFont="1" applyAlignment="1">
      <alignment horizontal="center" vertical="center" wrapText="1"/>
    </xf>
    <xf numFmtId="1" fontId="54" fillId="0" borderId="0" xfId="0" applyNumberFormat="1" applyFont="1" applyAlignment="1">
      <alignment horizontal="center" vertical="center" wrapText="1"/>
    </xf>
    <xf numFmtId="0" fontId="54" fillId="0" borderId="0" xfId="0" applyFont="1" applyAlignment="1">
      <alignment horizontal="justify" vertical="center" wrapText="1"/>
    </xf>
    <xf numFmtId="0" fontId="55" fillId="0" borderId="96" xfId="0" applyFont="1" applyBorder="1"/>
    <xf numFmtId="43" fontId="54" fillId="0" borderId="0" xfId="1" applyFont="1" applyBorder="1" applyAlignment="1">
      <alignment horizontal="right" vertical="center" wrapText="1"/>
    </xf>
    <xf numFmtId="0" fontId="55" fillId="0" borderId="129" xfId="0" applyFont="1" applyBorder="1"/>
    <xf numFmtId="4" fontId="54" fillId="0" borderId="0" xfId="0" applyNumberFormat="1" applyFont="1" applyAlignment="1">
      <alignment horizontal="right" vertical="center" wrapText="1"/>
    </xf>
    <xf numFmtId="4" fontId="54" fillId="0" borderId="0" xfId="0" applyNumberFormat="1" applyFont="1" applyAlignment="1">
      <alignment vertical="center" wrapText="1"/>
    </xf>
    <xf numFmtId="43" fontId="47" fillId="27" borderId="27" xfId="1" applyFont="1" applyFill="1" applyBorder="1" applyAlignment="1">
      <alignment vertical="center"/>
    </xf>
    <xf numFmtId="43" fontId="47" fillId="27" borderId="27" xfId="1" applyFont="1" applyFill="1" applyBorder="1" applyAlignment="1">
      <alignment horizontal="left" vertical="center"/>
    </xf>
    <xf numFmtId="43" fontId="47" fillId="27" borderId="142" xfId="144" applyNumberFormat="1" applyFont="1" applyFill="1" applyBorder="1" applyAlignment="1">
      <alignment horizontal="center" vertical="center"/>
    </xf>
    <xf numFmtId="43" fontId="55" fillId="0" borderId="162" xfId="1" applyFont="1" applyBorder="1" applyAlignment="1">
      <alignment horizontal="center" vertical="center" wrapText="1"/>
    </xf>
    <xf numFmtId="43" fontId="55" fillId="0" borderId="96" xfId="1" applyFont="1" applyFill="1" applyBorder="1" applyAlignment="1">
      <alignment horizontal="center" vertical="center" wrapText="1"/>
    </xf>
    <xf numFmtId="43" fontId="54" fillId="0" borderId="129" xfId="1" applyFont="1" applyFill="1" applyBorder="1" applyAlignment="1">
      <alignment horizontal="right" vertical="center" wrapText="1"/>
    </xf>
    <xf numFmtId="10" fontId="55" fillId="0" borderId="97" xfId="144" applyNumberFormat="1" applyFont="1" applyFill="1" applyBorder="1" applyAlignment="1">
      <alignment horizontal="right" vertical="center"/>
    </xf>
    <xf numFmtId="4" fontId="54" fillId="0" borderId="94" xfId="0" applyNumberFormat="1" applyFont="1" applyBorder="1" applyAlignment="1">
      <alignment horizontal="center" vertical="center" wrapText="1"/>
    </xf>
    <xf numFmtId="4" fontId="54" fillId="0" borderId="95" xfId="0" applyNumberFormat="1" applyFont="1" applyBorder="1" applyAlignment="1">
      <alignment horizontal="center" vertical="center" wrapText="1"/>
    </xf>
    <xf numFmtId="10" fontId="68" fillId="0" borderId="144" xfId="1" applyNumberFormat="1" applyFont="1" applyBorder="1" applyAlignment="1">
      <alignment horizontal="right" vertical="center"/>
    </xf>
    <xf numFmtId="0" fontId="64" fillId="32" borderId="138" xfId="0" applyFont="1" applyFill="1" applyBorder="1" applyAlignment="1">
      <alignment horizontal="left" vertical="top" wrapText="1"/>
    </xf>
    <xf numFmtId="0" fontId="65" fillId="33" borderId="138" xfId="0" applyFont="1" applyFill="1" applyBorder="1" applyAlignment="1">
      <alignment horizontal="left" vertical="top" wrapText="1"/>
    </xf>
    <xf numFmtId="0" fontId="66" fillId="34" borderId="138" xfId="0" applyFont="1" applyFill="1" applyBorder="1" applyAlignment="1">
      <alignment horizontal="left" vertical="top" wrapText="1"/>
    </xf>
    <xf numFmtId="0" fontId="66" fillId="35" borderId="138" xfId="0" applyFont="1" applyFill="1" applyBorder="1" applyAlignment="1">
      <alignment horizontal="left" vertical="top" wrapText="1"/>
    </xf>
    <xf numFmtId="0" fontId="66" fillId="32" borderId="0" xfId="0" applyFont="1" applyFill="1" applyAlignment="1">
      <alignment horizontal="right" vertical="top" wrapText="1"/>
    </xf>
    <xf numFmtId="0" fontId="54" fillId="37" borderId="94" xfId="0" applyFont="1" applyFill="1" applyBorder="1" applyAlignment="1">
      <alignment horizontal="center" vertical="center" wrapText="1"/>
    </xf>
    <xf numFmtId="43" fontId="54" fillId="0" borderId="162" xfId="1" applyFont="1" applyBorder="1" applyAlignment="1">
      <alignment horizontal="right" vertical="center" wrapText="1"/>
    </xf>
    <xf numFmtId="43" fontId="54" fillId="0" borderId="96" xfId="1" applyFont="1" applyFill="1" applyBorder="1" applyAlignment="1">
      <alignment horizontal="right" vertical="center" wrapText="1"/>
    </xf>
    <xf numFmtId="43" fontId="54" fillId="0" borderId="162" xfId="1" applyFont="1" applyFill="1" applyBorder="1" applyAlignment="1">
      <alignment horizontal="right" vertical="center" wrapText="1"/>
    </xf>
    <xf numFmtId="0" fontId="64" fillId="38" borderId="164" xfId="0" applyFont="1" applyFill="1" applyBorder="1" applyAlignment="1">
      <alignment horizontal="right" vertical="top" wrapText="1"/>
    </xf>
    <xf numFmtId="0" fontId="64" fillId="38" borderId="164" xfId="0" applyFont="1" applyFill="1" applyBorder="1" applyAlignment="1">
      <alignment horizontal="left" vertical="top" wrapText="1"/>
    </xf>
    <xf numFmtId="0" fontId="64" fillId="38" borderId="164" xfId="0" applyFont="1" applyFill="1" applyBorder="1" applyAlignment="1">
      <alignment horizontal="center" vertical="top" wrapText="1"/>
    </xf>
    <xf numFmtId="0" fontId="65" fillId="39" borderId="165" xfId="0" applyFont="1" applyFill="1" applyBorder="1" applyAlignment="1">
      <alignment horizontal="left" vertical="top" wrapText="1"/>
    </xf>
    <xf numFmtId="0" fontId="65" fillId="39" borderId="166" xfId="0" applyFont="1" applyFill="1" applyBorder="1" applyAlignment="1">
      <alignment horizontal="right" vertical="top" wrapText="1"/>
    </xf>
    <xf numFmtId="0" fontId="65" fillId="39" borderId="166" xfId="0" applyFont="1" applyFill="1" applyBorder="1" applyAlignment="1">
      <alignment horizontal="left" vertical="top" wrapText="1"/>
    </xf>
    <xf numFmtId="0" fontId="65" fillId="39" borderId="166" xfId="0" applyFont="1" applyFill="1" applyBorder="1" applyAlignment="1">
      <alignment horizontal="center" vertical="top" wrapText="1"/>
    </xf>
    <xf numFmtId="178" fontId="65" fillId="39" borderId="166" xfId="0" applyNumberFormat="1" applyFont="1" applyFill="1" applyBorder="1" applyAlignment="1">
      <alignment horizontal="right" vertical="top" wrapText="1"/>
    </xf>
    <xf numFmtId="4" fontId="65" fillId="39" borderId="166" xfId="0" applyNumberFormat="1" applyFont="1" applyFill="1" applyBorder="1" applyAlignment="1">
      <alignment horizontal="right" vertical="top" wrapText="1"/>
    </xf>
    <xf numFmtId="0" fontId="66" fillId="40" borderId="165" xfId="0" applyFont="1" applyFill="1" applyBorder="1" applyAlignment="1">
      <alignment horizontal="left" vertical="top" wrapText="1"/>
    </xf>
    <xf numFmtId="0" fontId="66" fillId="40" borderId="166" xfId="0" applyFont="1" applyFill="1" applyBorder="1" applyAlignment="1">
      <alignment horizontal="right" vertical="top" wrapText="1"/>
    </xf>
    <xf numFmtId="0" fontId="66" fillId="40" borderId="166" xfId="0" applyFont="1" applyFill="1" applyBorder="1" applyAlignment="1">
      <alignment horizontal="left" vertical="top" wrapText="1"/>
    </xf>
    <xf numFmtId="0" fontId="66" fillId="40" borderId="166" xfId="0" applyFont="1" applyFill="1" applyBorder="1" applyAlignment="1">
      <alignment horizontal="center" vertical="top" wrapText="1"/>
    </xf>
    <xf numFmtId="178" fontId="66" fillId="40" borderId="166" xfId="0" applyNumberFormat="1" applyFont="1" applyFill="1" applyBorder="1" applyAlignment="1">
      <alignment horizontal="right" vertical="top" wrapText="1"/>
    </xf>
    <xf numFmtId="4" fontId="66" fillId="40" borderId="166" xfId="0" applyNumberFormat="1" applyFont="1" applyFill="1" applyBorder="1" applyAlignment="1">
      <alignment horizontal="right" vertical="top" wrapText="1"/>
    </xf>
    <xf numFmtId="0" fontId="66" fillId="41" borderId="165" xfId="0" applyFont="1" applyFill="1" applyBorder="1" applyAlignment="1">
      <alignment horizontal="left" vertical="top" wrapText="1"/>
    </xf>
    <xf numFmtId="0" fontId="66" fillId="41" borderId="166" xfId="0" applyFont="1" applyFill="1" applyBorder="1" applyAlignment="1">
      <alignment horizontal="right" vertical="top" wrapText="1"/>
    </xf>
    <xf numFmtId="0" fontId="66" fillId="41" borderId="166" xfId="0" applyFont="1" applyFill="1" applyBorder="1" applyAlignment="1">
      <alignment horizontal="left" vertical="top" wrapText="1"/>
    </xf>
    <xf numFmtId="0" fontId="66" fillId="41" borderId="166" xfId="0" applyFont="1" applyFill="1" applyBorder="1" applyAlignment="1">
      <alignment horizontal="center" vertical="top" wrapText="1"/>
    </xf>
    <xf numFmtId="178" fontId="66" fillId="41" borderId="166" xfId="0" applyNumberFormat="1" applyFont="1" applyFill="1" applyBorder="1" applyAlignment="1">
      <alignment horizontal="right" vertical="top" wrapText="1"/>
    </xf>
    <xf numFmtId="4" fontId="66" fillId="41" borderId="166" xfId="0" applyNumberFormat="1" applyFont="1" applyFill="1" applyBorder="1" applyAlignment="1">
      <alignment horizontal="right" vertical="top" wrapText="1"/>
    </xf>
    <xf numFmtId="0" fontId="66" fillId="38" borderId="0" xfId="0" applyFont="1" applyFill="1" applyAlignment="1">
      <alignment horizontal="right" vertical="top" wrapText="1"/>
    </xf>
    <xf numFmtId="4" fontId="66" fillId="38" borderId="0" xfId="0" applyNumberFormat="1" applyFont="1" applyFill="1" applyAlignment="1">
      <alignment horizontal="right" vertical="top" wrapText="1"/>
    </xf>
    <xf numFmtId="0" fontId="73" fillId="0" borderId="0" xfId="0" applyFont="1"/>
    <xf numFmtId="4" fontId="58" fillId="0" borderId="94" xfId="0" applyNumberFormat="1" applyFont="1" applyBorder="1" applyAlignment="1">
      <alignment vertical="center" wrapText="1"/>
    </xf>
    <xf numFmtId="4" fontId="58" fillId="0" borderId="95" xfId="0" applyNumberFormat="1" applyFont="1" applyBorder="1" applyAlignment="1">
      <alignment horizontal="right" vertical="center" wrapText="1"/>
    </xf>
    <xf numFmtId="0" fontId="54" fillId="0" borderId="95" xfId="0" applyFont="1" applyBorder="1" applyAlignment="1">
      <alignment horizontal="center" wrapText="1"/>
    </xf>
    <xf numFmtId="4" fontId="66" fillId="0" borderId="138" xfId="0" applyNumberFormat="1" applyFont="1" applyBorder="1" applyAlignment="1">
      <alignment horizontal="right" vertical="top" wrapText="1"/>
    </xf>
    <xf numFmtId="0" fontId="74" fillId="0" borderId="144" xfId="0" applyFont="1" applyBorder="1" applyAlignment="1">
      <alignment vertical="center"/>
    </xf>
    <xf numFmtId="0" fontId="74" fillId="0" borderId="144" xfId="0" applyFont="1" applyBorder="1" applyAlignment="1">
      <alignment vertical="center" wrapText="1"/>
    </xf>
    <xf numFmtId="44" fontId="74" fillId="0" borderId="144" xfId="200" applyFont="1" applyBorder="1" applyAlignment="1">
      <alignment vertical="center"/>
    </xf>
    <xf numFmtId="10" fontId="67" fillId="0" borderId="144" xfId="144" applyNumberFormat="1" applyFont="1" applyBorder="1" applyAlignment="1">
      <alignment vertical="center"/>
    </xf>
    <xf numFmtId="44" fontId="74" fillId="0" borderId="144" xfId="200" applyFont="1" applyFill="1" applyBorder="1" applyAlignment="1">
      <alignment vertical="center"/>
    </xf>
    <xf numFmtId="173" fontId="34" fillId="0" borderId="0" xfId="92" applyFont="1" applyAlignment="1">
      <alignment vertical="center" wrapText="1"/>
    </xf>
    <xf numFmtId="0" fontId="3" fillId="28" borderId="33" xfId="0" applyFont="1" applyFill="1" applyBorder="1" applyAlignment="1">
      <alignment horizontal="center" vertical="center"/>
    </xf>
    <xf numFmtId="0" fontId="3" fillId="28" borderId="30" xfId="0" applyFont="1" applyFill="1" applyBorder="1" applyAlignment="1">
      <alignment horizontal="center" vertical="center"/>
    </xf>
    <xf numFmtId="0" fontId="3" fillId="28" borderId="32" xfId="0" applyFont="1" applyFill="1" applyBorder="1" applyAlignment="1">
      <alignment horizontal="center" vertical="center"/>
    </xf>
    <xf numFmtId="10" fontId="3" fillId="28" borderId="33" xfId="144" applyNumberFormat="1" applyFont="1" applyFill="1" applyBorder="1" applyAlignment="1">
      <alignment horizontal="center" vertical="center"/>
    </xf>
    <xf numFmtId="10" fontId="3" fillId="28" borderId="30" xfId="144" applyNumberFormat="1" applyFont="1" applyFill="1" applyBorder="1" applyAlignment="1">
      <alignment horizontal="center" vertical="center"/>
    </xf>
    <xf numFmtId="10" fontId="3" fillId="28" borderId="32" xfId="144" applyNumberFormat="1" applyFont="1" applyFill="1" applyBorder="1" applyAlignment="1">
      <alignment horizontal="center" vertical="center"/>
    </xf>
    <xf numFmtId="16" fontId="3" fillId="28" borderId="33" xfId="0" quotePrefix="1" applyNumberFormat="1" applyFont="1" applyFill="1" applyBorder="1" applyAlignment="1">
      <alignment horizontal="center" vertical="center"/>
    </xf>
    <xf numFmtId="0" fontId="3" fillId="28" borderId="33" xfId="0" applyFont="1" applyFill="1" applyBorder="1" applyAlignment="1">
      <alignment horizontal="left" vertical="center" wrapText="1"/>
    </xf>
    <xf numFmtId="0" fontId="3" fillId="28" borderId="30" xfId="0" applyFont="1" applyFill="1" applyBorder="1" applyAlignment="1">
      <alignment horizontal="left" vertical="center"/>
    </xf>
    <xf numFmtId="0" fontId="3" fillId="28" borderId="32" xfId="0" applyFont="1" applyFill="1" applyBorder="1" applyAlignment="1">
      <alignment horizontal="left" vertical="center"/>
    </xf>
    <xf numFmtId="0" fontId="3" fillId="28" borderId="33" xfId="0" applyFont="1" applyFill="1" applyBorder="1" applyAlignment="1">
      <alignment horizontal="left" vertical="center"/>
    </xf>
    <xf numFmtId="43" fontId="3" fillId="28" borderId="33" xfId="0" applyNumberFormat="1" applyFont="1" applyFill="1" applyBorder="1" applyAlignment="1">
      <alignment horizontal="center" vertical="center"/>
    </xf>
    <xf numFmtId="10" fontId="3" fillId="28" borderId="33" xfId="144" quotePrefix="1" applyNumberFormat="1" applyFont="1" applyFill="1" applyBorder="1" applyAlignment="1">
      <alignment horizontal="center" vertical="center"/>
    </xf>
    <xf numFmtId="14" fontId="3" fillId="28" borderId="33" xfId="0" quotePrefix="1" applyNumberFormat="1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9" fillId="0" borderId="0" xfId="0" applyFont="1" applyAlignment="1">
      <alignment horizontal="center" vertical="center" wrapText="1"/>
    </xf>
    <xf numFmtId="0" fontId="49" fillId="0" borderId="0" xfId="0" applyFont="1" applyAlignment="1">
      <alignment horizontal="center" vertical="center"/>
    </xf>
    <xf numFmtId="0" fontId="47" fillId="29" borderId="52" xfId="0" applyFont="1" applyFill="1" applyBorder="1" applyAlignment="1">
      <alignment horizontal="center" vertical="center" wrapText="1"/>
    </xf>
    <xf numFmtId="0" fontId="47" fillId="29" borderId="55" xfId="0" applyFont="1" applyFill="1" applyBorder="1" applyAlignment="1">
      <alignment horizontal="center" vertical="center" wrapText="1"/>
    </xf>
    <xf numFmtId="0" fontId="47" fillId="29" borderId="123" xfId="0" applyFont="1" applyFill="1" applyBorder="1" applyAlignment="1">
      <alignment horizontal="center" vertical="center" wrapText="1"/>
    </xf>
    <xf numFmtId="0" fontId="47" fillId="29" borderId="124" xfId="0" applyFont="1" applyFill="1" applyBorder="1" applyAlignment="1">
      <alignment horizontal="center" vertical="center" wrapText="1"/>
    </xf>
    <xf numFmtId="0" fontId="47" fillId="29" borderId="91" xfId="0" applyFont="1" applyFill="1" applyBorder="1" applyAlignment="1">
      <alignment horizontal="center" vertical="center" wrapText="1"/>
    </xf>
    <xf numFmtId="0" fontId="47" fillId="29" borderId="17" xfId="0" applyFont="1" applyFill="1" applyBorder="1" applyAlignment="1">
      <alignment horizontal="center" vertical="center" wrapText="1"/>
    </xf>
    <xf numFmtId="0" fontId="47" fillId="29" borderId="93" xfId="0" applyFont="1" applyFill="1" applyBorder="1" applyAlignment="1">
      <alignment horizontal="center" vertical="center" wrapText="1"/>
    </xf>
    <xf numFmtId="0" fontId="47" fillId="29" borderId="9" xfId="0" applyFont="1" applyFill="1" applyBorder="1" applyAlignment="1">
      <alignment horizontal="center" vertical="center" wrapText="1"/>
    </xf>
    <xf numFmtId="0" fontId="47" fillId="29" borderId="126" xfId="0" applyFont="1" applyFill="1" applyBorder="1" applyAlignment="1">
      <alignment horizontal="center" vertical="center" wrapText="1"/>
    </xf>
    <xf numFmtId="0" fontId="47" fillId="29" borderId="120" xfId="0" applyFont="1" applyFill="1" applyBorder="1" applyAlignment="1">
      <alignment horizontal="center" vertical="center" wrapText="1"/>
    </xf>
    <xf numFmtId="173" fontId="59" fillId="0" borderId="0" xfId="92" applyFont="1" applyAlignment="1">
      <alignment horizontal="left" vertical="center" wrapText="1"/>
    </xf>
    <xf numFmtId="0" fontId="47" fillId="0" borderId="88" xfId="0" applyFont="1" applyBorder="1" applyAlignment="1">
      <alignment horizontal="left" vertical="center" wrapText="1"/>
    </xf>
    <xf numFmtId="0" fontId="47" fillId="0" borderId="122" xfId="0" applyFont="1" applyBorder="1" applyAlignment="1">
      <alignment horizontal="left" vertical="center" wrapText="1"/>
    </xf>
    <xf numFmtId="0" fontId="41" fillId="29" borderId="7" xfId="0" applyFont="1" applyFill="1" applyBorder="1" applyAlignment="1">
      <alignment horizontal="right" vertical="center"/>
    </xf>
    <xf numFmtId="0" fontId="41" fillId="29" borderId="0" xfId="0" applyFont="1" applyFill="1" applyAlignment="1">
      <alignment horizontal="right" vertical="center"/>
    </xf>
    <xf numFmtId="0" fontId="48" fillId="0" borderId="85" xfId="0" applyFont="1" applyBorder="1" applyAlignment="1">
      <alignment horizontal="left" vertical="center" wrapText="1"/>
    </xf>
    <xf numFmtId="0" fontId="48" fillId="0" borderId="13" xfId="0" applyFont="1" applyBorder="1" applyAlignment="1">
      <alignment horizontal="left" vertical="center" wrapText="1"/>
    </xf>
    <xf numFmtId="0" fontId="48" fillId="0" borderId="150" xfId="0" applyFont="1" applyBorder="1" applyAlignment="1">
      <alignment horizontal="left" vertical="center"/>
    </xf>
    <xf numFmtId="0" fontId="48" fillId="0" borderId="151" xfId="0" applyFont="1" applyBorder="1" applyAlignment="1">
      <alignment horizontal="left" vertical="center"/>
    </xf>
    <xf numFmtId="0" fontId="53" fillId="29" borderId="53" xfId="0" applyFont="1" applyFill="1" applyBorder="1" applyAlignment="1">
      <alignment horizontal="center" vertical="center" wrapText="1"/>
    </xf>
    <xf numFmtId="0" fontId="53" fillId="29" borderId="62" xfId="0" applyFont="1" applyFill="1" applyBorder="1" applyAlignment="1">
      <alignment horizontal="center" vertical="center" wrapText="1"/>
    </xf>
    <xf numFmtId="0" fontId="53" fillId="29" borderId="52" xfId="0" applyFont="1" applyFill="1" applyBorder="1" applyAlignment="1">
      <alignment horizontal="center" vertical="center"/>
    </xf>
    <xf numFmtId="0" fontId="53" fillId="29" borderId="53" xfId="0" applyFont="1" applyFill="1" applyBorder="1" applyAlignment="1">
      <alignment horizontal="center" vertical="center"/>
    </xf>
    <xf numFmtId="0" fontId="53" fillId="29" borderId="127" xfId="0" applyFont="1" applyFill="1" applyBorder="1" applyAlignment="1">
      <alignment horizontal="center" vertical="center"/>
    </xf>
    <xf numFmtId="0" fontId="53" fillId="29" borderId="60" xfId="0" applyFont="1" applyFill="1" applyBorder="1" applyAlignment="1">
      <alignment horizontal="center" vertical="center" wrapText="1"/>
    </xf>
    <xf numFmtId="0" fontId="53" fillId="29" borderId="131" xfId="0" applyFont="1" applyFill="1" applyBorder="1" applyAlignment="1">
      <alignment horizontal="center" vertical="center" wrapText="1"/>
    </xf>
    <xf numFmtId="0" fontId="53" fillId="29" borderId="120" xfId="0" applyFont="1" applyFill="1" applyBorder="1" applyAlignment="1">
      <alignment horizontal="center" vertical="center" wrapText="1"/>
    </xf>
    <xf numFmtId="0" fontId="53" fillId="29" borderId="123" xfId="0" applyFont="1" applyFill="1" applyBorder="1" applyAlignment="1">
      <alignment horizontal="center" vertical="center" wrapText="1"/>
    </xf>
    <xf numFmtId="0" fontId="53" fillId="29" borderId="54" xfId="0" applyFont="1" applyFill="1" applyBorder="1" applyAlignment="1">
      <alignment horizontal="center" vertical="center" wrapText="1"/>
    </xf>
    <xf numFmtId="0" fontId="53" fillId="29" borderId="63" xfId="0" applyFont="1" applyFill="1" applyBorder="1" applyAlignment="1">
      <alignment horizontal="center" vertical="center" wrapText="1"/>
    </xf>
    <xf numFmtId="0" fontId="53" fillId="29" borderId="52" xfId="0" applyFont="1" applyFill="1" applyBorder="1" applyAlignment="1">
      <alignment horizontal="center" vertical="center" wrapText="1"/>
    </xf>
    <xf numFmtId="0" fontId="53" fillId="29" borderId="61" xfId="0" applyFont="1" applyFill="1" applyBorder="1" applyAlignment="1">
      <alignment horizontal="center" vertical="center" wrapText="1"/>
    </xf>
    <xf numFmtId="43" fontId="53" fillId="29" borderId="68" xfId="1" applyFont="1" applyFill="1" applyBorder="1" applyAlignment="1">
      <alignment horizontal="center" vertical="center" wrapText="1"/>
    </xf>
    <xf numFmtId="43" fontId="53" fillId="29" borderId="69" xfId="1" applyFont="1" applyFill="1" applyBorder="1" applyAlignment="1">
      <alignment horizontal="center" vertical="center" wrapText="1"/>
    </xf>
    <xf numFmtId="0" fontId="66" fillId="35" borderId="138" xfId="0" applyFont="1" applyFill="1" applyBorder="1" applyAlignment="1">
      <alignment horizontal="left" vertical="top" wrapText="1"/>
    </xf>
    <xf numFmtId="0" fontId="66" fillId="32" borderId="0" xfId="0" applyFont="1" applyFill="1" applyAlignment="1">
      <alignment horizontal="right" vertical="top" wrapText="1"/>
    </xf>
    <xf numFmtId="0" fontId="64" fillId="32" borderId="138" xfId="0" applyFont="1" applyFill="1" applyBorder="1" applyAlignment="1">
      <alignment horizontal="left" vertical="top" wrapText="1"/>
    </xf>
    <xf numFmtId="0" fontId="65" fillId="33" borderId="138" xfId="0" applyFont="1" applyFill="1" applyBorder="1" applyAlignment="1">
      <alignment horizontal="left" vertical="top" wrapText="1"/>
    </xf>
    <xf numFmtId="0" fontId="66" fillId="34" borderId="138" xfId="0" applyFont="1" applyFill="1" applyBorder="1" applyAlignment="1">
      <alignment horizontal="left" vertical="top" wrapText="1"/>
    </xf>
    <xf numFmtId="0" fontId="34" fillId="32" borderId="0" xfId="0" applyFont="1" applyFill="1" applyAlignment="1">
      <alignment horizontal="center" vertical="center" wrapText="1"/>
    </xf>
    <xf numFmtId="0" fontId="1" fillId="0" borderId="0" xfId="0" applyFont="1" applyAlignment="1">
      <alignment vertical="center"/>
    </xf>
    <xf numFmtId="173" fontId="34" fillId="0" borderId="0" xfId="92" applyFont="1" applyAlignment="1">
      <alignment horizontal="left" vertical="center" wrapText="1"/>
    </xf>
    <xf numFmtId="0" fontId="64" fillId="32" borderId="0" xfId="0" applyFont="1" applyFill="1" applyAlignment="1">
      <alignment horizontal="center" wrapText="1"/>
    </xf>
    <xf numFmtId="0" fontId="0" fillId="0" borderId="0" xfId="0"/>
    <xf numFmtId="0" fontId="66" fillId="40" borderId="167" xfId="0" applyFont="1" applyFill="1" applyBorder="1" applyAlignment="1">
      <alignment horizontal="left" vertical="top" wrapText="1"/>
    </xf>
    <xf numFmtId="0" fontId="66" fillId="40" borderId="164" xfId="0" applyFont="1" applyFill="1" applyBorder="1" applyAlignment="1">
      <alignment horizontal="left" vertical="top" wrapText="1"/>
    </xf>
    <xf numFmtId="0" fontId="64" fillId="38" borderId="167" xfId="0" applyFont="1" applyFill="1" applyBorder="1" applyAlignment="1">
      <alignment horizontal="left" vertical="top" wrapText="1"/>
    </xf>
    <xf numFmtId="0" fontId="64" fillId="38" borderId="164" xfId="0" applyFont="1" applyFill="1" applyBorder="1" applyAlignment="1">
      <alignment horizontal="left" vertical="top" wrapText="1"/>
    </xf>
    <xf numFmtId="0" fontId="65" fillId="39" borderId="167" xfId="0" applyFont="1" applyFill="1" applyBorder="1" applyAlignment="1">
      <alignment horizontal="left" vertical="top" wrapText="1"/>
    </xf>
    <xf numFmtId="0" fontId="65" fillId="39" borderId="164" xfId="0" applyFont="1" applyFill="1" applyBorder="1" applyAlignment="1">
      <alignment horizontal="left" vertical="top" wrapText="1"/>
    </xf>
    <xf numFmtId="0" fontId="66" fillId="41" borderId="167" xfId="0" applyFont="1" applyFill="1" applyBorder="1" applyAlignment="1">
      <alignment horizontal="left" vertical="top" wrapText="1"/>
    </xf>
    <xf numFmtId="0" fontId="66" fillId="41" borderId="164" xfId="0" applyFont="1" applyFill="1" applyBorder="1" applyAlignment="1">
      <alignment horizontal="left" vertical="top" wrapText="1"/>
    </xf>
    <xf numFmtId="10" fontId="30" fillId="4" borderId="115" xfId="195" applyNumberFormat="1" applyFont="1" applyFill="1" applyBorder="1" applyAlignment="1">
      <alignment horizontal="center" vertical="center"/>
    </xf>
    <xf numFmtId="10" fontId="30" fillId="4" borderId="116" xfId="195" applyNumberFormat="1" applyFont="1" applyFill="1" applyBorder="1" applyAlignment="1">
      <alignment horizontal="center" vertical="center"/>
    </xf>
    <xf numFmtId="10" fontId="30" fillId="4" borderId="117" xfId="195" applyNumberFormat="1" applyFont="1" applyFill="1" applyBorder="1" applyAlignment="1">
      <alignment horizontal="center" vertical="center"/>
    </xf>
    <xf numFmtId="4" fontId="30" fillId="4" borderId="110" xfId="22" applyNumberFormat="1" applyFont="1" applyFill="1" applyBorder="1" applyAlignment="1">
      <alignment horizontal="center" vertical="center"/>
    </xf>
    <xf numFmtId="4" fontId="30" fillId="4" borderId="111" xfId="22" applyNumberFormat="1" applyFont="1" applyFill="1" applyBorder="1" applyAlignment="1">
      <alignment horizontal="center" vertical="center"/>
    </xf>
    <xf numFmtId="4" fontId="30" fillId="4" borderId="112" xfId="22" applyNumberFormat="1" applyFont="1" applyFill="1" applyBorder="1" applyAlignment="1">
      <alignment horizontal="center" vertical="center"/>
    </xf>
    <xf numFmtId="10" fontId="30" fillId="30" borderId="80" xfId="195" applyNumberFormat="1" applyFont="1" applyFill="1" applyBorder="1" applyAlignment="1">
      <alignment horizontal="center" vertical="center"/>
    </xf>
    <xf numFmtId="10" fontId="30" fillId="30" borderId="31" xfId="195" applyNumberFormat="1" applyFont="1" applyFill="1" applyBorder="1" applyAlignment="1">
      <alignment horizontal="center" vertical="center"/>
    </xf>
    <xf numFmtId="10" fontId="30" fillId="30" borderId="18" xfId="195" applyNumberFormat="1" applyFont="1" applyFill="1" applyBorder="1" applyAlignment="1">
      <alignment horizontal="center" vertical="center"/>
    </xf>
    <xf numFmtId="164" fontId="30" fillId="4" borderId="110" xfId="22" applyFont="1" applyFill="1" applyBorder="1" applyAlignment="1">
      <alignment horizontal="center" vertical="center"/>
    </xf>
    <xf numFmtId="164" fontId="30" fillId="4" borderId="111" xfId="22" applyFont="1" applyFill="1" applyBorder="1" applyAlignment="1">
      <alignment horizontal="center" vertical="center"/>
    </xf>
    <xf numFmtId="164" fontId="30" fillId="4" borderId="112" xfId="22" applyFont="1" applyFill="1" applyBorder="1" applyAlignment="1">
      <alignment horizontal="center" vertical="center"/>
    </xf>
    <xf numFmtId="4" fontId="34" fillId="27" borderId="76" xfId="22" applyNumberFormat="1" applyFont="1" applyFill="1" applyBorder="1" applyAlignment="1">
      <alignment horizontal="center" vertical="center"/>
    </xf>
    <xf numFmtId="4" fontId="34" fillId="27" borderId="104" xfId="22" applyNumberFormat="1" applyFont="1" applyFill="1" applyBorder="1" applyAlignment="1">
      <alignment horizontal="center" vertical="center"/>
    </xf>
    <xf numFmtId="4" fontId="34" fillId="27" borderId="135" xfId="22" applyNumberFormat="1" applyFont="1" applyFill="1" applyBorder="1" applyAlignment="1">
      <alignment horizontal="center" vertical="center"/>
    </xf>
    <xf numFmtId="10" fontId="30" fillId="27" borderId="80" xfId="195" applyNumberFormat="1" applyFont="1" applyFill="1" applyBorder="1" applyAlignment="1">
      <alignment horizontal="center" vertical="center"/>
    </xf>
    <xf numFmtId="10" fontId="30" fillId="27" borderId="31" xfId="195" applyNumberFormat="1" applyFont="1" applyFill="1" applyBorder="1" applyAlignment="1">
      <alignment horizontal="center" vertical="center"/>
    </xf>
    <xf numFmtId="10" fontId="30" fillId="27" borderId="18" xfId="195" applyNumberFormat="1" applyFont="1" applyFill="1" applyBorder="1" applyAlignment="1">
      <alignment horizontal="center" vertical="center"/>
    </xf>
    <xf numFmtId="4" fontId="34" fillId="30" borderId="76" xfId="195" applyNumberFormat="1" applyFont="1" applyFill="1" applyBorder="1" applyAlignment="1">
      <alignment horizontal="center" vertical="center"/>
    </xf>
    <xf numFmtId="4" fontId="34" fillId="30" borderId="104" xfId="195" applyNumberFormat="1" applyFont="1" applyFill="1" applyBorder="1" applyAlignment="1">
      <alignment horizontal="center" vertical="center"/>
    </xf>
    <xf numFmtId="4" fontId="34" fillId="30" borderId="135" xfId="195" applyNumberFormat="1" applyFont="1" applyFill="1" applyBorder="1" applyAlignment="1">
      <alignment horizontal="center" vertical="center"/>
    </xf>
    <xf numFmtId="0" fontId="34" fillId="0" borderId="81" xfId="0" applyFont="1" applyBorder="1" applyAlignment="1">
      <alignment horizontal="center" vertical="center" wrapText="1"/>
    </xf>
    <xf numFmtId="0" fontId="34" fillId="0" borderId="82" xfId="0" applyFont="1" applyBorder="1" applyAlignment="1">
      <alignment horizontal="center" vertical="center" wrapText="1"/>
    </xf>
    <xf numFmtId="0" fontId="34" fillId="0" borderId="83" xfId="0" applyFont="1" applyBorder="1" applyAlignment="1">
      <alignment horizontal="center" vertical="center" wrapText="1"/>
    </xf>
    <xf numFmtId="0" fontId="34" fillId="0" borderId="140" xfId="0" applyFont="1" applyBorder="1" applyAlignment="1">
      <alignment horizontal="center" vertical="center"/>
    </xf>
    <xf numFmtId="0" fontId="34" fillId="0" borderId="17" xfId="0" applyFont="1" applyBorder="1" applyAlignment="1">
      <alignment horizontal="center" vertical="center"/>
    </xf>
    <xf numFmtId="0" fontId="34" fillId="0" borderId="90" xfId="0" applyFont="1" applyBorder="1" applyAlignment="1">
      <alignment horizontal="center" vertical="center"/>
    </xf>
    <xf numFmtId="4" fontId="30" fillId="4" borderId="133" xfId="22" applyNumberFormat="1" applyFont="1" applyFill="1" applyBorder="1" applyAlignment="1">
      <alignment horizontal="center" vertical="center"/>
    </xf>
    <xf numFmtId="4" fontId="30" fillId="4" borderId="121" xfId="22" applyNumberFormat="1" applyFont="1" applyFill="1" applyBorder="1" applyAlignment="1">
      <alignment horizontal="center" vertical="center"/>
    </xf>
    <xf numFmtId="4" fontId="30" fillId="4" borderId="134" xfId="22" applyNumberFormat="1" applyFont="1" applyFill="1" applyBorder="1" applyAlignment="1">
      <alignment horizontal="center" vertical="center"/>
    </xf>
    <xf numFmtId="0" fontId="34" fillId="0" borderId="6" xfId="0" applyFont="1" applyBorder="1" applyAlignment="1">
      <alignment horizontal="center" vertical="center"/>
    </xf>
    <xf numFmtId="164" fontId="34" fillId="30" borderId="76" xfId="195" applyNumberFormat="1" applyFont="1" applyFill="1" applyBorder="1" applyAlignment="1">
      <alignment horizontal="center" vertical="center"/>
    </xf>
    <xf numFmtId="164" fontId="34" fillId="30" borderId="104" xfId="195" applyNumberFormat="1" applyFont="1" applyFill="1" applyBorder="1" applyAlignment="1">
      <alignment horizontal="center" vertical="center"/>
    </xf>
    <xf numFmtId="164" fontId="34" fillId="30" borderId="135" xfId="195" applyNumberFormat="1" applyFont="1" applyFill="1" applyBorder="1" applyAlignment="1">
      <alignment horizontal="center" vertical="center"/>
    </xf>
    <xf numFmtId="0" fontId="30" fillId="0" borderId="11" xfId="0" quotePrefix="1" applyFont="1" applyBorder="1" applyAlignment="1">
      <alignment horizontal="center" vertical="center"/>
    </xf>
    <xf numFmtId="0" fontId="30" fillId="0" borderId="107" xfId="0" applyFont="1" applyBorder="1" applyAlignment="1">
      <alignment horizontal="center" vertical="center"/>
    </xf>
    <xf numFmtId="0" fontId="30" fillId="0" borderId="106" xfId="0" applyFont="1" applyBorder="1" applyAlignment="1">
      <alignment horizontal="center" vertical="center" wrapText="1"/>
    </xf>
    <xf numFmtId="0" fontId="30" fillId="0" borderId="4" xfId="0" applyFont="1" applyBorder="1" applyAlignment="1">
      <alignment horizontal="center" vertical="center" wrapText="1"/>
    </xf>
    <xf numFmtId="0" fontId="30" fillId="0" borderId="29" xfId="0" applyFont="1" applyBorder="1" applyAlignment="1">
      <alignment horizontal="center" vertical="center" wrapText="1"/>
    </xf>
    <xf numFmtId="0" fontId="30" fillId="0" borderId="74" xfId="0" applyFont="1" applyBorder="1" applyAlignment="1">
      <alignment horizontal="center" vertical="center" wrapText="1"/>
    </xf>
    <xf numFmtId="0" fontId="34" fillId="0" borderId="73" xfId="0" applyFont="1" applyBorder="1" applyAlignment="1">
      <alignment horizontal="center" vertical="center"/>
    </xf>
    <xf numFmtId="0" fontId="34" fillId="0" borderId="105" xfId="0" applyFont="1" applyBorder="1" applyAlignment="1">
      <alignment horizontal="center" vertical="center"/>
    </xf>
    <xf numFmtId="0" fontId="34" fillId="0" borderId="77" xfId="0" applyFont="1" applyBorder="1" applyAlignment="1">
      <alignment horizontal="center" vertical="center"/>
    </xf>
    <xf numFmtId="0" fontId="34" fillId="0" borderId="74" xfId="0" applyFont="1" applyBorder="1" applyAlignment="1">
      <alignment horizontal="center" vertical="center" wrapText="1"/>
    </xf>
    <xf numFmtId="0" fontId="34" fillId="0" borderId="4" xfId="0" applyFont="1" applyBorder="1" applyAlignment="1">
      <alignment horizontal="center" vertical="center" wrapText="1"/>
    </xf>
    <xf numFmtId="0" fontId="34" fillId="0" borderId="78" xfId="0" applyFont="1" applyBorder="1" applyAlignment="1">
      <alignment horizontal="center" vertical="center" wrapText="1"/>
    </xf>
    <xf numFmtId="164" fontId="34" fillId="27" borderId="76" xfId="22" applyFont="1" applyFill="1" applyBorder="1" applyAlignment="1">
      <alignment horizontal="center" vertical="center"/>
    </xf>
    <xf numFmtId="164" fontId="34" fillId="27" borderId="104" xfId="22" applyFont="1" applyFill="1" applyBorder="1" applyAlignment="1">
      <alignment horizontal="center" vertical="center"/>
    </xf>
    <xf numFmtId="164" fontId="34" fillId="27" borderId="135" xfId="22" applyFont="1" applyFill="1" applyBorder="1" applyAlignment="1">
      <alignment horizontal="center" vertical="center"/>
    </xf>
    <xf numFmtId="10" fontId="34" fillId="0" borderId="0" xfId="144" applyNumberFormat="1" applyFont="1" applyFill="1" applyAlignment="1" applyProtection="1">
      <alignment horizontal="center" vertical="center"/>
    </xf>
    <xf numFmtId="0" fontId="34" fillId="0" borderId="16" xfId="0" applyFont="1" applyBorder="1" applyAlignment="1">
      <alignment horizontal="center" vertical="center"/>
    </xf>
    <xf numFmtId="0" fontId="34" fillId="0" borderId="28" xfId="0" applyFont="1" applyBorder="1" applyAlignment="1">
      <alignment horizontal="center" vertical="center" wrapText="1"/>
    </xf>
    <xf numFmtId="0" fontId="34" fillId="0" borderId="12" xfId="0" applyFont="1" applyBorder="1" applyAlignment="1">
      <alignment horizontal="center" vertical="center" wrapText="1"/>
    </xf>
    <xf numFmtId="0" fontId="34" fillId="0" borderId="109" xfId="0" applyFont="1" applyBorder="1" applyAlignment="1">
      <alignment horizontal="center" vertical="center" wrapText="1"/>
    </xf>
    <xf numFmtId="4" fontId="30" fillId="4" borderId="125" xfId="22" applyNumberFormat="1" applyFont="1" applyFill="1" applyBorder="1" applyAlignment="1">
      <alignment horizontal="center" vertical="center"/>
    </xf>
    <xf numFmtId="10" fontId="30" fillId="4" borderId="119" xfId="195" applyNumberFormat="1" applyFont="1" applyFill="1" applyBorder="1" applyAlignment="1">
      <alignment horizontal="center" vertical="center"/>
    </xf>
    <xf numFmtId="4" fontId="30" fillId="4" borderId="118" xfId="22" applyNumberFormat="1" applyFont="1" applyFill="1" applyBorder="1" applyAlignment="1">
      <alignment horizontal="center" vertical="center"/>
    </xf>
    <xf numFmtId="164" fontId="30" fillId="4" borderId="118" xfId="22" applyFont="1" applyFill="1" applyBorder="1" applyAlignment="1">
      <alignment horizontal="center" vertical="center"/>
    </xf>
    <xf numFmtId="10" fontId="30" fillId="30" borderId="79" xfId="195" applyNumberFormat="1" applyFont="1" applyFill="1" applyBorder="1" applyAlignment="1">
      <alignment horizontal="center" vertical="center"/>
    </xf>
    <xf numFmtId="164" fontId="34" fillId="27" borderId="75" xfId="22" applyFont="1" applyFill="1" applyBorder="1" applyAlignment="1">
      <alignment horizontal="center" vertical="center"/>
    </xf>
    <xf numFmtId="10" fontId="30" fillId="27" borderId="79" xfId="195" applyNumberFormat="1" applyFont="1" applyFill="1" applyBorder="1" applyAlignment="1">
      <alignment horizontal="center" vertical="center"/>
    </xf>
    <xf numFmtId="164" fontId="34" fillId="30" borderId="75" xfId="195" applyNumberFormat="1" applyFont="1" applyFill="1" applyBorder="1" applyAlignment="1">
      <alignment horizontal="center" vertical="center"/>
    </xf>
    <xf numFmtId="173" fontId="34" fillId="0" borderId="0" xfId="92" applyFont="1" applyAlignment="1">
      <alignment horizontal="center" vertical="center"/>
    </xf>
    <xf numFmtId="0" fontId="47" fillId="28" borderId="36" xfId="0" applyFont="1" applyFill="1" applyBorder="1" applyAlignment="1">
      <alignment horizontal="center" vertical="center" wrapText="1"/>
    </xf>
    <xf numFmtId="0" fontId="47" fillId="28" borderId="161" xfId="0" applyFont="1" applyFill="1" applyBorder="1" applyAlignment="1">
      <alignment horizontal="center" vertical="center" wrapText="1"/>
    </xf>
    <xf numFmtId="0" fontId="47" fillId="27" borderId="163" xfId="0" applyFont="1" applyFill="1" applyBorder="1" applyAlignment="1">
      <alignment horizontal="right" vertical="center"/>
    </xf>
    <xf numFmtId="0" fontId="47" fillId="27" borderId="31" xfId="0" applyFont="1" applyFill="1" applyBorder="1" applyAlignment="1">
      <alignment horizontal="right" vertical="center"/>
    </xf>
    <xf numFmtId="0" fontId="47" fillId="27" borderId="18" xfId="0" applyFont="1" applyFill="1" applyBorder="1" applyAlignment="1">
      <alignment horizontal="right" vertical="center"/>
    </xf>
    <xf numFmtId="0" fontId="47" fillId="28" borderId="137" xfId="0" applyFont="1" applyFill="1" applyBorder="1" applyAlignment="1">
      <alignment horizontal="center" vertical="center" wrapText="1"/>
    </xf>
    <xf numFmtId="0" fontId="47" fillId="28" borderId="160" xfId="0" applyFont="1" applyFill="1" applyBorder="1" applyAlignment="1">
      <alignment horizontal="center" vertical="center" wrapText="1"/>
    </xf>
    <xf numFmtId="0" fontId="47" fillId="28" borderId="34" xfId="0" applyFont="1" applyFill="1" applyBorder="1" applyAlignment="1">
      <alignment horizontal="center" vertical="center" wrapText="1"/>
    </xf>
    <xf numFmtId="0" fontId="47" fillId="28" borderId="157" xfId="0" applyFont="1" applyFill="1" applyBorder="1" applyAlignment="1">
      <alignment horizontal="center" vertical="center" wrapText="1"/>
    </xf>
    <xf numFmtId="0" fontId="47" fillId="28" borderId="35" xfId="0" applyFont="1" applyFill="1" applyBorder="1" applyAlignment="1">
      <alignment horizontal="center" vertical="center" wrapText="1"/>
    </xf>
    <xf numFmtId="0" fontId="47" fillId="28" borderId="158" xfId="0" applyFont="1" applyFill="1" applyBorder="1" applyAlignment="1">
      <alignment horizontal="center" vertical="center" wrapText="1"/>
    </xf>
    <xf numFmtId="0" fontId="47" fillId="28" borderId="136" xfId="0" applyFont="1" applyFill="1" applyBorder="1" applyAlignment="1">
      <alignment horizontal="center" vertical="center" wrapText="1"/>
    </xf>
    <xf numFmtId="0" fontId="47" fillId="28" borderId="159" xfId="0" applyFont="1" applyFill="1" applyBorder="1" applyAlignment="1">
      <alignment horizontal="center" vertical="center" wrapText="1"/>
    </xf>
    <xf numFmtId="43" fontId="47" fillId="28" borderId="74" xfId="1" applyFont="1" applyFill="1" applyBorder="1" applyAlignment="1">
      <alignment horizontal="center" vertical="center" wrapText="1"/>
    </xf>
    <xf numFmtId="43" fontId="47" fillId="28" borderId="4" xfId="1" applyFont="1" applyFill="1" applyBorder="1" applyAlignment="1">
      <alignment horizontal="center" vertical="center" wrapText="1"/>
    </xf>
    <xf numFmtId="173" fontId="34" fillId="0" borderId="9" xfId="92" applyFont="1" applyBorder="1" applyAlignment="1">
      <alignment horizontal="left" vertical="center" wrapText="1"/>
    </xf>
    <xf numFmtId="173" fontId="30" fillId="0" borderId="0" xfId="92" applyFont="1" applyAlignment="1">
      <alignment horizontal="justify" vertical="center"/>
    </xf>
    <xf numFmtId="173" fontId="30" fillId="0" borderId="0" xfId="92" applyFont="1" applyAlignment="1">
      <alignment horizontal="center" vertical="center" wrapText="1"/>
    </xf>
    <xf numFmtId="177" fontId="30" fillId="0" borderId="17" xfId="195" applyNumberFormat="1" applyFont="1" applyFill="1" applyBorder="1" applyAlignment="1" applyProtection="1">
      <alignment horizontal="center" vertical="center"/>
    </xf>
    <xf numFmtId="173" fontId="45" fillId="0" borderId="0" xfId="92" applyFont="1" applyAlignment="1">
      <alignment horizontal="center" vertical="center" wrapText="1"/>
    </xf>
    <xf numFmtId="176" fontId="30" fillId="0" borderId="0" xfId="190" applyNumberFormat="1" applyFont="1" applyFill="1" applyBorder="1" applyAlignment="1" applyProtection="1">
      <alignment horizontal="center" vertical="center" wrapText="1"/>
      <protection locked="0"/>
    </xf>
    <xf numFmtId="176" fontId="30" fillId="0" borderId="15" xfId="190" applyNumberFormat="1" applyFont="1" applyFill="1" applyBorder="1" applyAlignment="1" applyProtection="1">
      <alignment horizontal="center" vertical="center" wrapText="1"/>
      <protection locked="0"/>
    </xf>
    <xf numFmtId="176" fontId="34" fillId="28" borderId="9" xfId="190" applyNumberFormat="1" applyFont="1" applyFill="1" applyBorder="1" applyAlignment="1" applyProtection="1">
      <alignment horizontal="center" vertical="center" wrapText="1"/>
    </xf>
    <xf numFmtId="176" fontId="34" fillId="28" borderId="10" xfId="190" applyNumberFormat="1" applyFont="1" applyFill="1" applyBorder="1" applyAlignment="1" applyProtection="1">
      <alignment horizontal="center" vertical="center" wrapText="1"/>
    </xf>
    <xf numFmtId="173" fontId="30" fillId="0" borderId="6" xfId="92" applyFont="1" applyBorder="1" applyAlignment="1">
      <alignment horizontal="center" vertical="center" wrapText="1"/>
    </xf>
    <xf numFmtId="173" fontId="30" fillId="0" borderId="17" xfId="92" applyFont="1" applyBorder="1" applyAlignment="1">
      <alignment horizontal="center" vertical="center" wrapText="1"/>
    </xf>
    <xf numFmtId="173" fontId="30" fillId="0" borderId="16" xfId="92" applyFont="1" applyBorder="1" applyAlignment="1">
      <alignment horizontal="center" vertical="center" wrapText="1"/>
    </xf>
    <xf numFmtId="173" fontId="1" fillId="0" borderId="0" xfId="92" applyFont="1" applyAlignment="1">
      <alignment horizontal="left" vertical="center" wrapText="1"/>
    </xf>
    <xf numFmtId="173" fontId="30" fillId="0" borderId="0" xfId="92" applyFont="1" applyAlignment="1">
      <alignment horizontal="left" vertical="center"/>
    </xf>
    <xf numFmtId="10" fontId="30" fillId="0" borderId="0" xfId="144" applyNumberFormat="1" applyFont="1" applyFill="1" applyBorder="1" applyAlignment="1" applyProtection="1">
      <alignment horizontal="left" vertical="center"/>
      <protection locked="0"/>
    </xf>
    <xf numFmtId="173" fontId="30" fillId="0" borderId="0" xfId="92" applyFont="1" applyAlignment="1" applyProtection="1">
      <alignment horizontal="left" vertical="center"/>
      <protection locked="0"/>
    </xf>
    <xf numFmtId="173" fontId="34" fillId="29" borderId="6" xfId="92" applyFont="1" applyFill="1" applyBorder="1" applyAlignment="1">
      <alignment horizontal="center" vertical="center"/>
    </xf>
    <xf numFmtId="173" fontId="34" fillId="29" borderId="17" xfId="92" applyFont="1" applyFill="1" applyBorder="1" applyAlignment="1">
      <alignment horizontal="center" vertical="center"/>
    </xf>
    <xf numFmtId="173" fontId="34" fillId="29" borderId="8" xfId="92" applyFont="1" applyFill="1" applyBorder="1" applyAlignment="1">
      <alignment horizontal="center" vertical="center"/>
    </xf>
    <xf numFmtId="173" fontId="34" fillId="29" borderId="9" xfId="92" applyFont="1" applyFill="1" applyBorder="1" applyAlignment="1">
      <alignment horizontal="center" vertical="center"/>
    </xf>
    <xf numFmtId="173" fontId="34" fillId="29" borderId="17" xfId="92" applyFont="1" applyFill="1" applyBorder="1" applyAlignment="1">
      <alignment horizontal="center" vertical="center" wrapText="1"/>
    </xf>
    <xf numFmtId="173" fontId="34" fillId="29" borderId="16" xfId="92" applyFont="1" applyFill="1" applyBorder="1" applyAlignment="1">
      <alignment horizontal="center" vertical="center" wrapText="1"/>
    </xf>
    <xf numFmtId="173" fontId="34" fillId="29" borderId="9" xfId="92" applyFont="1" applyFill="1" applyBorder="1" applyAlignment="1">
      <alignment horizontal="center" vertical="center" wrapText="1"/>
    </xf>
    <xf numFmtId="173" fontId="34" fillId="29" borderId="10" xfId="92" applyFont="1" applyFill="1" applyBorder="1" applyAlignment="1">
      <alignment horizontal="center" vertical="center" wrapText="1"/>
    </xf>
    <xf numFmtId="176" fontId="30" fillId="0" borderId="17" xfId="190" applyNumberFormat="1" applyFont="1" applyFill="1" applyBorder="1" applyAlignment="1" applyProtection="1">
      <alignment horizontal="center" vertical="center" wrapText="1"/>
      <protection locked="0"/>
    </xf>
    <xf numFmtId="176" fontId="30" fillId="0" borderId="16" xfId="190" applyNumberFormat="1" applyFont="1" applyFill="1" applyBorder="1" applyAlignment="1" applyProtection="1">
      <alignment horizontal="center" vertical="center" wrapText="1"/>
      <protection locked="0"/>
    </xf>
    <xf numFmtId="0" fontId="43" fillId="0" borderId="0" xfId="0" applyFont="1" applyAlignment="1">
      <alignment horizontal="center" vertical="center" wrapText="1"/>
    </xf>
    <xf numFmtId="173" fontId="1" fillId="4" borderId="0" xfId="92" applyFont="1" applyFill="1" applyAlignment="1">
      <alignment horizontal="justify" vertical="center" wrapText="1"/>
    </xf>
    <xf numFmtId="0" fontId="43" fillId="0" borderId="0" xfId="0" applyFont="1" applyAlignment="1">
      <alignment horizontal="center" vertical="center"/>
    </xf>
    <xf numFmtId="0" fontId="30" fillId="4" borderId="146" xfId="0" applyFont="1" applyFill="1" applyBorder="1" applyAlignment="1">
      <alignment horizontal="center" vertical="center" wrapText="1"/>
    </xf>
    <xf numFmtId="0" fontId="30" fillId="4" borderId="147" xfId="0" applyFont="1" applyFill="1" applyBorder="1" applyAlignment="1">
      <alignment horizontal="center" vertical="center" wrapText="1"/>
    </xf>
    <xf numFmtId="0" fontId="30" fillId="4" borderId="148" xfId="0" applyFont="1" applyFill="1" applyBorder="1" applyAlignment="1">
      <alignment horizontal="center" vertical="center" wrapText="1"/>
    </xf>
    <xf numFmtId="0" fontId="34" fillId="28" borderId="77" xfId="0" applyFont="1" applyFill="1" applyBorder="1" applyAlignment="1">
      <alignment horizontal="center" vertical="center" wrapText="1"/>
    </xf>
    <xf numFmtId="0" fontId="34" fillId="28" borderId="27" xfId="0" applyFont="1" applyFill="1" applyBorder="1" applyAlignment="1">
      <alignment horizontal="center" vertical="center" wrapText="1"/>
    </xf>
    <xf numFmtId="0" fontId="34" fillId="0" borderId="0" xfId="0" applyFont="1" applyAlignment="1">
      <alignment horizontal="center" vertical="center" wrapText="1"/>
    </xf>
    <xf numFmtId="0" fontId="34" fillId="28" borderId="73" xfId="0" applyFont="1" applyFill="1" applyBorder="1" applyAlignment="1">
      <alignment horizontal="center" vertical="center" wrapText="1"/>
    </xf>
    <xf numFmtId="0" fontId="34" fillId="28" borderId="140" xfId="0" applyFont="1" applyFill="1" applyBorder="1" applyAlignment="1">
      <alignment horizontal="center" vertical="center" wrapText="1"/>
    </xf>
    <xf numFmtId="0" fontId="34" fillId="28" borderId="141" xfId="0" applyFont="1" applyFill="1" applyBorder="1" applyAlignment="1">
      <alignment horizontal="center" vertical="center" wrapText="1"/>
    </xf>
    <xf numFmtId="0" fontId="30" fillId="28" borderId="26" xfId="0" applyFont="1" applyFill="1" applyBorder="1" applyAlignment="1">
      <alignment horizontal="center" vertical="center" wrapText="1"/>
    </xf>
    <xf numFmtId="0" fontId="30" fillId="28" borderId="76" xfId="0" applyFont="1" applyFill="1" applyBorder="1" applyAlignment="1">
      <alignment horizontal="center" vertical="center" wrapText="1"/>
    </xf>
    <xf numFmtId="0" fontId="30" fillId="28" borderId="75" xfId="0" applyFont="1" applyFill="1" applyBorder="1" applyAlignment="1">
      <alignment horizontal="center" vertical="center" wrapText="1"/>
    </xf>
    <xf numFmtId="0" fontId="30" fillId="4" borderId="143" xfId="0" applyFont="1" applyFill="1" applyBorder="1" applyAlignment="1">
      <alignment horizontal="center" vertical="center" wrapText="1"/>
    </xf>
    <xf numFmtId="0" fontId="30" fillId="4" borderId="104" xfId="0" applyFont="1" applyFill="1" applyBorder="1" applyAlignment="1">
      <alignment horizontal="center" vertical="center" wrapText="1"/>
    </xf>
    <xf numFmtId="0" fontId="30" fillId="4" borderId="75" xfId="0" applyFont="1" applyFill="1" applyBorder="1" applyAlignment="1">
      <alignment horizontal="center" vertical="center" wrapText="1"/>
    </xf>
    <xf numFmtId="0" fontId="57" fillId="0" borderId="6" xfId="0" applyFont="1" applyBorder="1" applyAlignment="1">
      <alignment horizontal="center" vertical="center"/>
    </xf>
    <xf numFmtId="0" fontId="57" fillId="0" borderId="17" xfId="0" applyFont="1" applyBorder="1" applyAlignment="1">
      <alignment horizontal="center" vertical="center"/>
    </xf>
    <xf numFmtId="0" fontId="57" fillId="0" borderId="7" xfId="0" applyFont="1" applyBorder="1" applyAlignment="1">
      <alignment horizontal="center" vertical="center"/>
    </xf>
    <xf numFmtId="0" fontId="57" fillId="0" borderId="0" xfId="0" applyFont="1" applyAlignment="1">
      <alignment horizontal="center" vertical="center"/>
    </xf>
    <xf numFmtId="0" fontId="57" fillId="0" borderId="8" xfId="0" applyFont="1" applyBorder="1" applyAlignment="1">
      <alignment horizontal="center" vertical="center"/>
    </xf>
    <xf numFmtId="0" fontId="57" fillId="0" borderId="9" xfId="0" applyFont="1" applyBorder="1" applyAlignment="1">
      <alignment horizontal="center" vertical="center"/>
    </xf>
    <xf numFmtId="0" fontId="57" fillId="0" borderId="17" xfId="0" applyFont="1" applyBorder="1" applyAlignment="1">
      <alignment horizontal="right" vertical="center"/>
    </xf>
    <xf numFmtId="0" fontId="30" fillId="4" borderId="44" xfId="9" applyFont="1" applyFill="1" applyBorder="1" applyAlignment="1" applyProtection="1">
      <alignment horizontal="justify" vertical="center" wrapText="1"/>
      <protection locked="0"/>
    </xf>
    <xf numFmtId="0" fontId="30" fillId="4" borderId="44" xfId="9" applyFont="1" applyFill="1" applyBorder="1" applyAlignment="1" applyProtection="1">
      <alignment horizontal="justify" vertical="center"/>
      <protection locked="0"/>
    </xf>
    <xf numFmtId="0" fontId="30" fillId="4" borderId="45" xfId="9" applyFont="1" applyFill="1" applyBorder="1" applyAlignment="1" applyProtection="1">
      <alignment horizontal="justify" vertical="center"/>
      <protection locked="0"/>
    </xf>
    <xf numFmtId="0" fontId="30" fillId="4" borderId="47" xfId="9" applyFont="1" applyFill="1" applyBorder="1" applyAlignment="1" applyProtection="1">
      <alignment horizontal="justify" vertical="center" wrapText="1"/>
      <protection locked="0"/>
    </xf>
    <xf numFmtId="0" fontId="30" fillId="4" borderId="47" xfId="9" applyFont="1" applyFill="1" applyBorder="1" applyAlignment="1" applyProtection="1">
      <alignment horizontal="justify" vertical="center"/>
      <protection locked="0"/>
    </xf>
    <xf numFmtId="0" fontId="30" fillId="4" borderId="48" xfId="9" applyFont="1" applyFill="1" applyBorder="1" applyAlignment="1" applyProtection="1">
      <alignment horizontal="justify" vertical="center"/>
      <protection locked="0"/>
    </xf>
    <xf numFmtId="0" fontId="30" fillId="4" borderId="45" xfId="9" applyFont="1" applyFill="1" applyBorder="1" applyAlignment="1" applyProtection="1">
      <alignment horizontal="justify" vertical="center" wrapText="1"/>
      <protection locked="0"/>
    </xf>
    <xf numFmtId="0" fontId="34" fillId="29" borderId="53" xfId="8" applyFont="1" applyFill="1" applyBorder="1" applyAlignment="1">
      <alignment horizontal="center" vertical="center"/>
    </xf>
    <xf numFmtId="0" fontId="34" fillId="29" borderId="56" xfId="8" applyFont="1" applyFill="1" applyBorder="1" applyAlignment="1">
      <alignment horizontal="center" vertical="center"/>
    </xf>
    <xf numFmtId="0" fontId="34" fillId="29" borderId="52" xfId="8" applyFont="1" applyFill="1" applyBorder="1" applyAlignment="1">
      <alignment horizontal="center" vertical="center"/>
    </xf>
    <xf numFmtId="0" fontId="34" fillId="29" borderId="55" xfId="8" applyFont="1" applyFill="1" applyBorder="1" applyAlignment="1">
      <alignment horizontal="center" vertical="center"/>
    </xf>
    <xf numFmtId="4" fontId="34" fillId="29" borderId="54" xfId="26" applyNumberFormat="1" applyFont="1" applyFill="1" applyBorder="1" applyAlignment="1">
      <alignment horizontal="center" vertical="center"/>
    </xf>
    <xf numFmtId="4" fontId="34" fillId="29" borderId="57" xfId="26" applyNumberFormat="1" applyFont="1" applyFill="1" applyBorder="1" applyAlignment="1">
      <alignment horizontal="center" vertical="center"/>
    </xf>
    <xf numFmtId="4" fontId="34" fillId="29" borderId="71" xfId="26" applyNumberFormat="1" applyFont="1" applyFill="1" applyBorder="1" applyAlignment="1">
      <alignment horizontal="center" vertical="center"/>
    </xf>
    <xf numFmtId="4" fontId="34" fillId="29" borderId="66" xfId="26" applyNumberFormat="1" applyFont="1" applyFill="1" applyBorder="1" applyAlignment="1">
      <alignment horizontal="center" vertical="center"/>
    </xf>
    <xf numFmtId="4" fontId="34" fillId="29" borderId="71" xfId="26" applyNumberFormat="1" applyFont="1" applyFill="1" applyBorder="1" applyAlignment="1">
      <alignment horizontal="center" vertical="center" wrapText="1"/>
    </xf>
  </cellXfs>
  <cellStyles count="201">
    <cellStyle name="20% - Ênfase1 2" xfId="52"/>
    <cellStyle name="20% - Ênfase2 2" xfId="53"/>
    <cellStyle name="20% - Ênfase3 2" xfId="54"/>
    <cellStyle name="20% - Ênfase4 2" xfId="55"/>
    <cellStyle name="20% - Ênfase5 2" xfId="56"/>
    <cellStyle name="20% - Ênfase6 2" xfId="57"/>
    <cellStyle name="40% - Ênfase1 2" xfId="58"/>
    <cellStyle name="40% - Ênfase2 2" xfId="59"/>
    <cellStyle name="40% - Ênfase3 2" xfId="60"/>
    <cellStyle name="40% - Ênfase4 2" xfId="61"/>
    <cellStyle name="40% - Ênfase5 2" xfId="62"/>
    <cellStyle name="40% - Ênfase6 2" xfId="63"/>
    <cellStyle name="60% - Ênfase1 2" xfId="64"/>
    <cellStyle name="60% - Ênfase2 2" xfId="65"/>
    <cellStyle name="60% - Ênfase3 2" xfId="66"/>
    <cellStyle name="60% - Ênfase4 2" xfId="67"/>
    <cellStyle name="60% - Ênfase5 2" xfId="68"/>
    <cellStyle name="60% - Ênfase6 2" xfId="69"/>
    <cellStyle name="Bom 2" xfId="70"/>
    <cellStyle name="Cálculo 2" xfId="71"/>
    <cellStyle name="Cancel" xfId="23"/>
    <cellStyle name="Célula de Verificação 2" xfId="72"/>
    <cellStyle name="Célula Vinculada 2" xfId="73"/>
    <cellStyle name="Data" xfId="3"/>
    <cellStyle name="Data 2" xfId="74"/>
    <cellStyle name="Ênfase1 2" xfId="75"/>
    <cellStyle name="Ênfase2 2" xfId="76"/>
    <cellStyle name="Ênfase3 2" xfId="77"/>
    <cellStyle name="Ênfase4 2" xfId="78"/>
    <cellStyle name="Ênfase5 2" xfId="79"/>
    <cellStyle name="Ênfase6 2" xfId="80"/>
    <cellStyle name="Entrada 2" xfId="81"/>
    <cellStyle name="Euro" xfId="4"/>
    <cellStyle name="Euro 2" xfId="82"/>
    <cellStyle name="Fixo" xfId="5"/>
    <cellStyle name="Incorreto 2" xfId="83"/>
    <cellStyle name="Moeda" xfId="200" builtinId="4"/>
    <cellStyle name="Moeda 2" xfId="84"/>
    <cellStyle name="Moeda 3" xfId="85"/>
    <cellStyle name="Moeda 4" xfId="86"/>
    <cellStyle name="Moeda 4 2" xfId="140"/>
    <cellStyle name="Moeda 4 2 2" xfId="198"/>
    <cellStyle name="Moeda 4 3" xfId="169"/>
    <cellStyle name="Neutra 2" xfId="87"/>
    <cellStyle name="Normal" xfId="0" builtinId="0"/>
    <cellStyle name="Normal 10" xfId="121"/>
    <cellStyle name="Normal 10 2" xfId="180"/>
    <cellStyle name="Normal 11" xfId="122"/>
    <cellStyle name="Normal 11 2" xfId="181"/>
    <cellStyle name="Normal 12" xfId="132"/>
    <cellStyle name="Normal 12 2" xfId="142"/>
    <cellStyle name="Normal 12 2 2" xfId="199"/>
    <cellStyle name="Normal 12 3" xfId="191"/>
    <cellStyle name="Normal 2" xfId="6"/>
    <cellStyle name="Normal 2 10" xfId="28"/>
    <cellStyle name="Normal 2 2" xfId="31"/>
    <cellStyle name="Normal 2 2 2" xfId="88"/>
    <cellStyle name="Normal 2 2 2 2" xfId="170"/>
    <cellStyle name="Normal 2 2 3" xfId="152"/>
    <cellStyle name="Normal 2 3" xfId="89"/>
    <cellStyle name="Normal 2 3 2" xfId="171"/>
    <cellStyle name="Normal 2 4" xfId="90"/>
    <cellStyle name="Normal 2 4 2" xfId="172"/>
    <cellStyle name="Normal 2 5" xfId="114"/>
    <cellStyle name="Normal 2 5 2" xfId="141"/>
    <cellStyle name="Normal 2 6" xfId="116"/>
    <cellStyle name="Normal 2 7" xfId="117"/>
    <cellStyle name="Normal 2 8" xfId="119"/>
    <cellStyle name="Normal 2 9" xfId="120"/>
    <cellStyle name="Normal 2_QUANT_HELBOR BELVEDERE R06_Area Estruturada Priscila" xfId="91"/>
    <cellStyle name="Normal 3" xfId="24"/>
    <cellStyle name="Normal 3 2" xfId="92"/>
    <cellStyle name="Normal 3 3" xfId="44"/>
    <cellStyle name="Normal 3 3 10" xfId="124"/>
    <cellStyle name="Normal 3 3 10 2" xfId="134"/>
    <cellStyle name="Normal 3 3 10 2 2" xfId="193"/>
    <cellStyle name="Normal 3 3 10 3" xfId="183"/>
    <cellStyle name="Normal 3 3 11" xfId="125"/>
    <cellStyle name="Normal 3 3 11 2" xfId="184"/>
    <cellStyle name="Normal 3 3 12" xfId="126"/>
    <cellStyle name="Normal 3 3 12 2" xfId="185"/>
    <cellStyle name="Normal 3 3 13" xfId="127"/>
    <cellStyle name="Normal 3 3 13 2" xfId="186"/>
    <cellStyle name="Normal 3 3 14" xfId="128"/>
    <cellStyle name="Normal 3 3 14 2" xfId="187"/>
    <cellStyle name="Normal 3 3 15" xfId="129"/>
    <cellStyle name="Normal 3 3 15 2" xfId="188"/>
    <cellStyle name="Normal 3 3 16" xfId="130"/>
    <cellStyle name="Normal 3 3 16 2" xfId="189"/>
    <cellStyle name="Normal 3 3 17" xfId="161"/>
    <cellStyle name="Normal 3 3 2" xfId="45"/>
    <cellStyle name="Normal 3 3 2 2" xfId="162"/>
    <cellStyle name="Normal 3 3 3" xfId="46"/>
    <cellStyle name="Normal 3 3 3 2" xfId="163"/>
    <cellStyle name="Normal 3 3 4" xfId="47"/>
    <cellStyle name="Normal 3 3 4 2" xfId="164"/>
    <cellStyle name="Normal 3 3 5" xfId="48"/>
    <cellStyle name="Normal 3 3 5 2" xfId="165"/>
    <cellStyle name="Normal 3 3 6" xfId="49"/>
    <cellStyle name="Normal 3 3 6 2" xfId="166"/>
    <cellStyle name="Normal 3 3 7" xfId="50"/>
    <cellStyle name="Normal 3 3 7 2" xfId="167"/>
    <cellStyle name="Normal 3 3 8" xfId="51"/>
    <cellStyle name="Normal 3 3 8 2" xfId="168"/>
    <cellStyle name="Normal 3 3 9" xfId="123"/>
    <cellStyle name="Normal 3 3 9 2" xfId="182"/>
    <cellStyle name="Normal 3 4" xfId="29"/>
    <cellStyle name="Normal 3 4 2" xfId="150"/>
    <cellStyle name="Normal 4" xfId="2"/>
    <cellStyle name="Normal 4 2" xfId="93"/>
    <cellStyle name="Normal 5" xfId="27"/>
    <cellStyle name="Normal 5 2" xfId="95"/>
    <cellStyle name="Normal 5 3" xfId="94"/>
    <cellStyle name="Normal 5 3 2" xfId="173"/>
    <cellStyle name="Normal 5 4" xfId="149"/>
    <cellStyle name="Normal 6" xfId="96"/>
    <cellStyle name="Normal 7" xfId="97"/>
    <cellStyle name="Normal 8" xfId="40"/>
    <cellStyle name="Normal 9" xfId="118"/>
    <cellStyle name="Normal 9 2" xfId="179"/>
    <cellStyle name="Normal_CS-COMP" xfId="7"/>
    <cellStyle name="Normal_modelo_lev_rev_interno" xfId="145"/>
    <cellStyle name="Normal_Plan1 (2)" xfId="8"/>
    <cellStyle name="Normal_Plan1 (4)" xfId="9"/>
    <cellStyle name="Normal_RESESTR (2)" xfId="10"/>
    <cellStyle name="Nota 2" xfId="98"/>
    <cellStyle name="Percentual" xfId="11"/>
    <cellStyle name="Ponto" xfId="12"/>
    <cellStyle name="Porcentagem" xfId="144" builtinId="5"/>
    <cellStyle name="Porcentagem 2" xfId="14"/>
    <cellStyle name="Porcentagem 2 2" xfId="33"/>
    <cellStyle name="Porcentagem 2 2 2" xfId="136"/>
    <cellStyle name="Porcentagem 2 2 2 2" xfId="195"/>
    <cellStyle name="Porcentagem 2 2 3" xfId="154"/>
    <cellStyle name="Porcentagem 2 3" xfId="115"/>
    <cellStyle name="Porcentagem 2 4" xfId="32"/>
    <cellStyle name="Porcentagem 2 4 2" xfId="153"/>
    <cellStyle name="Porcentagem 3" xfId="13"/>
    <cellStyle name="Porcentagem 3 2" xfId="100"/>
    <cellStyle name="Porcentagem 3 2 2" xfId="34"/>
    <cellStyle name="Porcentagem 3 2 2 2" xfId="135"/>
    <cellStyle name="Porcentagem 3 2 2 2 2" xfId="194"/>
    <cellStyle name="Porcentagem 3 2 2 3" xfId="155"/>
    <cellStyle name="Porcentagem 3 2 3" xfId="174"/>
    <cellStyle name="Porcentagem 3 3" xfId="101"/>
    <cellStyle name="Porcentagem 3 3 2" xfId="175"/>
    <cellStyle name="Porcentagem 3 4" xfId="99"/>
    <cellStyle name="Porcentagem 3 5" xfId="146"/>
    <cellStyle name="Saída 2" xfId="102"/>
    <cellStyle name="Separador de milhares 2" xfId="22"/>
    <cellStyle name="Separador de milhares 2 2" xfId="35"/>
    <cellStyle name="Separador de milhares 2 2 2" xfId="36"/>
    <cellStyle name="Separador de milhares 2 2 2 2" xfId="138"/>
    <cellStyle name="Separador de milhares 2 2 3" xfId="103"/>
    <cellStyle name="Separador de milhares 2 2 4" xfId="37"/>
    <cellStyle name="Separador de milhares 2 2 4 2" xfId="26"/>
    <cellStyle name="Separador de milhares 2 2 4 2 2" xfId="148"/>
    <cellStyle name="Separador de milhares 2 2 4 3" xfId="157"/>
    <cellStyle name="Separador de milhares 2 2 5" xfId="156"/>
    <cellStyle name="Separador de milhares 2 3" xfId="41"/>
    <cellStyle name="Separador de milhares 2 4" xfId="42"/>
    <cellStyle name="Separador de milhares 2 4 2" xfId="137"/>
    <cellStyle name="Separador de milhares 2 4 2 2" xfId="196"/>
    <cellStyle name="Separador de milhares 2 4 3" xfId="159"/>
    <cellStyle name="Separador de milhares 3" xfId="25"/>
    <cellStyle name="Separador de milhares 3 2" xfId="38"/>
    <cellStyle name="Separador de milhares 3 2 2" xfId="43"/>
    <cellStyle name="Separador de milhares 3 2 2 2" xfId="133"/>
    <cellStyle name="Separador de milhares 3 2 2 2 2" xfId="192"/>
    <cellStyle name="Separador de milhares 3 2 2 3" xfId="160"/>
    <cellStyle name="Separador de milhares 3 2 3" xfId="158"/>
    <cellStyle name="Separador de milhares 3 3" xfId="104"/>
    <cellStyle name="Separador de milhares 3 3 2" xfId="176"/>
    <cellStyle name="Separador de milhares 3 4" xfId="30"/>
    <cellStyle name="Separador de milhares 3 4 2" xfId="151"/>
    <cellStyle name="Separador de milhares 4" xfId="15"/>
    <cellStyle name="Separador de milhares 4 2" xfId="39"/>
    <cellStyle name="Separador de milhares 4 3" xfId="139"/>
    <cellStyle name="Separador de milhares 4 3 2" xfId="197"/>
    <cellStyle name="Separador de milhares 4 4" xfId="147"/>
    <cellStyle name="Separador de milhares 5" xfId="105"/>
    <cellStyle name="Separador de milhares 5 2" xfId="106"/>
    <cellStyle name="Separador de milhares 5 3" xfId="177"/>
    <cellStyle name="Separador de milhares 6" xfId="107"/>
    <cellStyle name="Separador de milhares 6 2" xfId="178"/>
    <cellStyle name="Separador de milhares 7" xfId="108"/>
    <cellStyle name="Separador de milhares 8" xfId="143"/>
    <cellStyle name="Texto de Aviso 2" xfId="109"/>
    <cellStyle name="Texto Explicativo 2" xfId="110"/>
    <cellStyle name="Título 1 2" xfId="16"/>
    <cellStyle name="Título 2 2" xfId="17"/>
    <cellStyle name="Título 3 2" xfId="111"/>
    <cellStyle name="Título 4 2" xfId="112"/>
    <cellStyle name="Título 5" xfId="113"/>
    <cellStyle name="Titulo1" xfId="18"/>
    <cellStyle name="Titulo2" xfId="19"/>
    <cellStyle name="titulos" xfId="20"/>
    <cellStyle name="Total 2" xfId="21"/>
    <cellStyle name="Vírgula" xfId="1" builtinId="3"/>
    <cellStyle name="Vírgula 2" xfId="131"/>
    <cellStyle name="Vírgula 2 2" xfId="190"/>
  </cellStyles>
  <dxfs count="8">
    <dxf>
      <fill>
        <patternFill>
          <bgColor indexed="42"/>
        </patternFill>
      </fill>
    </dxf>
    <dxf>
      <fill>
        <patternFill>
          <bgColor indexed="42"/>
        </patternFill>
      </fill>
    </dxf>
    <dxf>
      <fill>
        <patternFill>
          <bgColor indexed="42"/>
        </patternFill>
      </fill>
    </dxf>
    <dxf>
      <fill>
        <patternFill>
          <bgColor indexed="42"/>
        </patternFill>
      </fill>
    </dxf>
    <dxf>
      <fill>
        <patternFill>
          <bgColor indexed="42"/>
        </patternFill>
      </fill>
    </dxf>
    <dxf>
      <fill>
        <patternFill>
          <bgColor indexed="42"/>
        </patternFill>
      </fill>
    </dxf>
    <dxf>
      <fill>
        <patternFill>
          <bgColor indexed="42"/>
        </patternFill>
      </fill>
    </dxf>
    <dxf>
      <fill>
        <patternFill>
          <bgColor indexed="42"/>
        </patternFill>
      </fill>
    </dxf>
  </dxfs>
  <tableStyles count="0" defaultTableStyle="TableStyleMedium9" defaultPivotStyle="PivotStyleLight16"/>
  <colors>
    <mruColors>
      <color rgb="FFF8F8F8"/>
      <color rgb="FFEAEAEA"/>
      <color rgb="FFCCE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56030</xdr:colOff>
      <xdr:row>0</xdr:row>
      <xdr:rowOff>67236</xdr:rowOff>
    </xdr:from>
    <xdr:to>
      <xdr:col>2</xdr:col>
      <xdr:colOff>422463</xdr:colOff>
      <xdr:row>4</xdr:row>
      <xdr:rowOff>33618</xdr:rowOff>
    </xdr:to>
    <xdr:pic>
      <xdr:nvPicPr>
        <xdr:cNvPr id="7" name="Imagem 6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8089" y="67236"/>
          <a:ext cx="971550" cy="728382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19050</xdr:colOff>
      <xdr:row>0</xdr:row>
      <xdr:rowOff>81242</xdr:rowOff>
    </xdr:from>
    <xdr:to>
      <xdr:col>2</xdr:col>
      <xdr:colOff>485775</xdr:colOff>
      <xdr:row>5</xdr:row>
      <xdr:rowOff>71718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xmlns="" id="{00000000-0008-0000-09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81242"/>
          <a:ext cx="971550" cy="609601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47625</xdr:colOff>
      <xdr:row>0</xdr:row>
      <xdr:rowOff>76200</xdr:rowOff>
    </xdr:from>
    <xdr:to>
      <xdr:col>4</xdr:col>
      <xdr:colOff>95250</xdr:colOff>
      <xdr:row>5</xdr:row>
      <xdr:rowOff>66676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xmlns="" id="{00000000-0008-0000-0A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925" y="76200"/>
          <a:ext cx="971550" cy="609601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7</xdr:col>
      <xdr:colOff>209550</xdr:colOff>
      <xdr:row>36</xdr:row>
      <xdr:rowOff>104775</xdr:rowOff>
    </xdr:from>
    <xdr:to>
      <xdr:col>13</xdr:col>
      <xdr:colOff>95250</xdr:colOff>
      <xdr:row>38</xdr:row>
      <xdr:rowOff>12038</xdr:rowOff>
    </xdr:to>
    <xdr:pic>
      <xdr:nvPicPr>
        <xdr:cNvPr id="3" name="Picture 3">
          <a:extLst>
            <a:ext uri="{FF2B5EF4-FFF2-40B4-BE49-F238E27FC236}">
              <a16:creationId xmlns:a16="http://schemas.microsoft.com/office/drawing/2014/main" xmlns="" id="{00000000-0008-0000-0A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62250" y="7896225"/>
          <a:ext cx="2571750" cy="4787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44824</xdr:colOff>
      <xdr:row>0</xdr:row>
      <xdr:rowOff>44824</xdr:rowOff>
    </xdr:from>
    <xdr:to>
      <xdr:col>4</xdr:col>
      <xdr:colOff>145117</xdr:colOff>
      <xdr:row>6</xdr:row>
      <xdr:rowOff>19612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xmlns="" id="{00000000-0008-0000-0A00-000004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9124" y="44824"/>
          <a:ext cx="1024218" cy="717738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47625</xdr:colOff>
      <xdr:row>0</xdr:row>
      <xdr:rowOff>76200</xdr:rowOff>
    </xdr:from>
    <xdr:to>
      <xdr:col>4</xdr:col>
      <xdr:colOff>95250</xdr:colOff>
      <xdr:row>5</xdr:row>
      <xdr:rowOff>66676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xmlns="" id="{00000000-0008-0000-0B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925" y="76200"/>
          <a:ext cx="971550" cy="609601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7</xdr:col>
      <xdr:colOff>209550</xdr:colOff>
      <xdr:row>36</xdr:row>
      <xdr:rowOff>104775</xdr:rowOff>
    </xdr:from>
    <xdr:to>
      <xdr:col>13</xdr:col>
      <xdr:colOff>95250</xdr:colOff>
      <xdr:row>38</xdr:row>
      <xdr:rowOff>12038</xdr:rowOff>
    </xdr:to>
    <xdr:pic>
      <xdr:nvPicPr>
        <xdr:cNvPr id="3" name="Picture 3">
          <a:extLst>
            <a:ext uri="{FF2B5EF4-FFF2-40B4-BE49-F238E27FC236}">
              <a16:creationId xmlns:a16="http://schemas.microsoft.com/office/drawing/2014/main" xmlns="" id="{00000000-0008-0000-0B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62250" y="7896225"/>
          <a:ext cx="2571750" cy="4787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44824</xdr:colOff>
      <xdr:row>0</xdr:row>
      <xdr:rowOff>44824</xdr:rowOff>
    </xdr:from>
    <xdr:to>
      <xdr:col>4</xdr:col>
      <xdr:colOff>145117</xdr:colOff>
      <xdr:row>6</xdr:row>
      <xdr:rowOff>19612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xmlns="" id="{00000000-0008-0000-0B00-000004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9124" y="44824"/>
          <a:ext cx="1024218" cy="717738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81642</xdr:colOff>
      <xdr:row>0</xdr:row>
      <xdr:rowOff>81642</xdr:rowOff>
    </xdr:from>
    <xdr:to>
      <xdr:col>2</xdr:col>
      <xdr:colOff>444072</xdr:colOff>
      <xdr:row>5</xdr:row>
      <xdr:rowOff>78922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xmlns="" id="{00000000-0008-0000-0C00-000004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499" y="81642"/>
          <a:ext cx="971550" cy="609601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19050</xdr:colOff>
      <xdr:row>0</xdr:row>
      <xdr:rowOff>81242</xdr:rowOff>
    </xdr:from>
    <xdr:to>
      <xdr:col>2</xdr:col>
      <xdr:colOff>504825</xdr:colOff>
      <xdr:row>5</xdr:row>
      <xdr:rowOff>71718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271742"/>
          <a:ext cx="971550" cy="609601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19050</xdr:colOff>
      <xdr:row>0</xdr:row>
      <xdr:rowOff>81242</xdr:rowOff>
    </xdr:from>
    <xdr:to>
      <xdr:col>2</xdr:col>
      <xdr:colOff>485775</xdr:colOff>
      <xdr:row>5</xdr:row>
      <xdr:rowOff>71718</xdr:rowOff>
    </xdr:to>
    <xdr:pic>
      <xdr:nvPicPr>
        <xdr:cNvPr id="6" name="Imagem 5">
          <a:extLst>
            <a:ext uri="{FF2B5EF4-FFF2-40B4-BE49-F238E27FC236}">
              <a16:creationId xmlns:a16="http://schemas.microsoft.com/office/drawing/2014/main" xmlns="" id="{00000000-0008-0000-0200-000006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81242"/>
          <a:ext cx="971550" cy="609601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57150</xdr:colOff>
      <xdr:row>0</xdr:row>
      <xdr:rowOff>47625</xdr:rowOff>
    </xdr:from>
    <xdr:to>
      <xdr:col>2</xdr:col>
      <xdr:colOff>400050</xdr:colOff>
      <xdr:row>4</xdr:row>
      <xdr:rowOff>9526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47625"/>
          <a:ext cx="971550" cy="609601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</xdr:col>
      <xdr:colOff>28575</xdr:colOff>
      <xdr:row>0</xdr:row>
      <xdr:rowOff>57150</xdr:rowOff>
    </xdr:from>
    <xdr:to>
      <xdr:col>2</xdr:col>
      <xdr:colOff>419100</xdr:colOff>
      <xdr:row>4</xdr:row>
      <xdr:rowOff>123826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xmlns="" id="{00000000-0008-0000-0300-000003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725" y="57150"/>
          <a:ext cx="1019175" cy="714376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56030</xdr:colOff>
      <xdr:row>0</xdr:row>
      <xdr:rowOff>56030</xdr:rowOff>
    </xdr:from>
    <xdr:to>
      <xdr:col>2</xdr:col>
      <xdr:colOff>366433</xdr:colOff>
      <xdr:row>5</xdr:row>
      <xdr:rowOff>49307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xmlns="" id="{00000000-0008-0000-0400-000004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2059" y="56030"/>
          <a:ext cx="971550" cy="609601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89648</xdr:colOff>
      <xdr:row>0</xdr:row>
      <xdr:rowOff>100854</xdr:rowOff>
    </xdr:from>
    <xdr:to>
      <xdr:col>2</xdr:col>
      <xdr:colOff>198346</xdr:colOff>
      <xdr:row>5</xdr:row>
      <xdr:rowOff>94131</xdr:rowOff>
    </xdr:to>
    <xdr:pic>
      <xdr:nvPicPr>
        <xdr:cNvPr id="5" name="Imagem 4">
          <a:extLst>
            <a:ext uri="{FF2B5EF4-FFF2-40B4-BE49-F238E27FC236}">
              <a16:creationId xmlns:a16="http://schemas.microsoft.com/office/drawing/2014/main" xmlns="" id="{00000000-0008-0000-0500-000005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1707" y="100854"/>
          <a:ext cx="971550" cy="609601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47625</xdr:colOff>
      <xdr:row>0</xdr:row>
      <xdr:rowOff>76200</xdr:rowOff>
    </xdr:from>
    <xdr:to>
      <xdr:col>4</xdr:col>
      <xdr:colOff>95250</xdr:colOff>
      <xdr:row>6</xdr:row>
      <xdr:rowOff>133350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xmlns="" id="{00000000-0008-0000-06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925" y="76200"/>
          <a:ext cx="971550" cy="800100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7</xdr:col>
      <xdr:colOff>209550</xdr:colOff>
      <xdr:row>36</xdr:row>
      <xdr:rowOff>104775</xdr:rowOff>
    </xdr:from>
    <xdr:to>
      <xdr:col>13</xdr:col>
      <xdr:colOff>95250</xdr:colOff>
      <xdr:row>38</xdr:row>
      <xdr:rowOff>12038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xmlns="" id="{00000000-0008-0000-06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62250" y="7896225"/>
          <a:ext cx="2571750" cy="4787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47625</xdr:colOff>
      <xdr:row>0</xdr:row>
      <xdr:rowOff>76200</xdr:rowOff>
    </xdr:from>
    <xdr:to>
      <xdr:col>4</xdr:col>
      <xdr:colOff>95250</xdr:colOff>
      <xdr:row>6</xdr:row>
      <xdr:rowOff>66675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xmlns="" id="{00000000-0008-0000-07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925" y="76200"/>
          <a:ext cx="971550" cy="733425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7</xdr:col>
      <xdr:colOff>209550</xdr:colOff>
      <xdr:row>36</xdr:row>
      <xdr:rowOff>104775</xdr:rowOff>
    </xdr:from>
    <xdr:to>
      <xdr:col>13</xdr:col>
      <xdr:colOff>95250</xdr:colOff>
      <xdr:row>38</xdr:row>
      <xdr:rowOff>12038</xdr:rowOff>
    </xdr:to>
    <xdr:pic>
      <xdr:nvPicPr>
        <xdr:cNvPr id="3" name="Picture 3">
          <a:extLst>
            <a:ext uri="{FF2B5EF4-FFF2-40B4-BE49-F238E27FC236}">
              <a16:creationId xmlns:a16="http://schemas.microsoft.com/office/drawing/2014/main" xmlns="" id="{00000000-0008-0000-07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62250" y="7896225"/>
          <a:ext cx="2571750" cy="4787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89648</xdr:colOff>
      <xdr:row>0</xdr:row>
      <xdr:rowOff>78442</xdr:rowOff>
    </xdr:from>
    <xdr:to>
      <xdr:col>2</xdr:col>
      <xdr:colOff>456081</xdr:colOff>
      <xdr:row>6</xdr:row>
      <xdr:rowOff>72279</xdr:rowOff>
    </xdr:to>
    <xdr:pic>
      <xdr:nvPicPr>
        <xdr:cNvPr id="7" name="Imagem 6">
          <a:extLst>
            <a:ext uri="{FF2B5EF4-FFF2-40B4-BE49-F238E27FC236}">
              <a16:creationId xmlns:a16="http://schemas.microsoft.com/office/drawing/2014/main" xmlns="" id="{00000000-0008-0000-0800-000007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1707" y="78442"/>
          <a:ext cx="971550" cy="7334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1">
    <tabColor theme="6"/>
  </sheetPr>
  <dimension ref="B1:X35"/>
  <sheetViews>
    <sheetView showGridLines="0" view="pageBreakPreview" zoomScaleNormal="100" zoomScaleSheetLayoutView="100" workbookViewId="0">
      <selection activeCell="H33" sqref="H33"/>
    </sheetView>
  </sheetViews>
  <sheetFormatPr defaultColWidth="9.140625" defaultRowHeight="15" x14ac:dyDescent="0.25"/>
  <cols>
    <col min="1" max="1" width="1.5703125" style="7" customWidth="1"/>
    <col min="2" max="4" width="9.140625" style="7"/>
    <col min="5" max="5" width="1.5703125" style="7" customWidth="1"/>
    <col min="6" max="7" width="9.140625" style="7"/>
    <col min="8" max="8" width="10.5703125" style="7" customWidth="1"/>
    <col min="9" max="9" width="1.5703125" style="7" customWidth="1"/>
    <col min="10" max="12" width="9.140625" style="7"/>
    <col min="13" max="13" width="1.5703125" style="7" customWidth="1"/>
    <col min="14" max="14" width="9.140625" style="7" customWidth="1"/>
    <col min="15" max="15" width="1.5703125" style="7" customWidth="1"/>
    <col min="16" max="16" width="9.140625" style="7"/>
    <col min="17" max="17" width="1.5703125" style="7" customWidth="1"/>
    <col min="18" max="16384" width="9.140625" style="7"/>
  </cols>
  <sheetData>
    <row r="1" spans="2:24" x14ac:dyDescent="0.25">
      <c r="B1" s="477"/>
      <c r="C1" s="477"/>
      <c r="N1" s="477"/>
      <c r="O1" s="477"/>
      <c r="P1" s="477"/>
    </row>
    <row r="2" spans="2:24" x14ac:dyDescent="0.25">
      <c r="B2" s="477"/>
      <c r="C2" s="477"/>
      <c r="N2" s="477"/>
      <c r="O2" s="477"/>
      <c r="P2" s="477"/>
    </row>
    <row r="3" spans="2:24" x14ac:dyDescent="0.25">
      <c r="B3" s="477"/>
      <c r="C3" s="477"/>
      <c r="N3" s="477"/>
      <c r="O3" s="477"/>
      <c r="P3" s="477"/>
    </row>
    <row r="4" spans="2:24" x14ac:dyDescent="0.25">
      <c r="B4" s="477"/>
      <c r="C4" s="477"/>
      <c r="N4" s="477"/>
      <c r="O4" s="477"/>
      <c r="P4" s="477"/>
    </row>
    <row r="5" spans="2:24" x14ac:dyDescent="0.25">
      <c r="B5" s="477"/>
      <c r="C5" s="477"/>
      <c r="N5" s="477"/>
      <c r="O5" s="477"/>
      <c r="P5" s="477"/>
    </row>
    <row r="6" spans="2:24" x14ac:dyDescent="0.25">
      <c r="B6" s="477"/>
      <c r="C6" s="477"/>
      <c r="F6"/>
      <c r="N6" s="477"/>
      <c r="O6" s="477"/>
      <c r="P6" s="477"/>
    </row>
    <row r="7" spans="2:24" x14ac:dyDescent="0.25">
      <c r="B7" s="477"/>
      <c r="C7" s="477"/>
      <c r="N7" s="477"/>
      <c r="O7" s="477"/>
      <c r="P7" s="477"/>
    </row>
    <row r="8" spans="2:24" x14ac:dyDescent="0.25">
      <c r="X8"/>
    </row>
    <row r="10" spans="2:24" x14ac:dyDescent="0.25">
      <c r="B10" s="478" t="s">
        <v>55</v>
      </c>
      <c r="C10" s="478"/>
      <c r="D10" s="478"/>
      <c r="E10" s="478"/>
      <c r="F10" s="478"/>
      <c r="G10" s="478"/>
      <c r="H10" s="478"/>
      <c r="I10" s="478"/>
      <c r="J10" s="478"/>
      <c r="K10" s="478"/>
      <c r="L10" s="478"/>
      <c r="M10" s="478"/>
      <c r="N10" s="478"/>
      <c r="O10" s="478"/>
      <c r="P10" s="478"/>
    </row>
    <row r="12" spans="2:24" x14ac:dyDescent="0.25">
      <c r="B12" s="14" t="s">
        <v>56</v>
      </c>
      <c r="P12" s="15"/>
    </row>
    <row r="13" spans="2:24" x14ac:dyDescent="0.25">
      <c r="B13" s="470" t="s">
        <v>771</v>
      </c>
      <c r="C13" s="471"/>
      <c r="D13" s="471"/>
      <c r="E13" s="471"/>
      <c r="F13" s="471"/>
      <c r="G13" s="471"/>
      <c r="H13" s="471"/>
      <c r="I13" s="471"/>
      <c r="J13" s="471"/>
      <c r="K13" s="471"/>
      <c r="L13" s="471"/>
      <c r="M13" s="471"/>
      <c r="N13" s="471"/>
      <c r="O13" s="471"/>
      <c r="P13" s="472"/>
    </row>
    <row r="14" spans="2:24" ht="6" customHeight="1" x14ac:dyDescent="0.25"/>
    <row r="15" spans="2:24" x14ac:dyDescent="0.25">
      <c r="B15" s="14" t="s">
        <v>93</v>
      </c>
      <c r="P15" s="15"/>
    </row>
    <row r="16" spans="2:24" x14ac:dyDescent="0.25">
      <c r="B16" s="473" t="s">
        <v>1193</v>
      </c>
      <c r="C16" s="471"/>
      <c r="D16" s="471"/>
      <c r="E16" s="471"/>
      <c r="F16" s="471"/>
      <c r="G16" s="471"/>
      <c r="H16" s="471"/>
      <c r="I16" s="471"/>
      <c r="J16" s="471"/>
      <c r="K16" s="471"/>
      <c r="L16" s="471"/>
      <c r="M16" s="471"/>
      <c r="N16" s="471"/>
      <c r="O16" s="471"/>
      <c r="P16" s="472"/>
    </row>
    <row r="17" spans="2:16" ht="6" customHeight="1" x14ac:dyDescent="0.25"/>
    <row r="18" spans="2:16" x14ac:dyDescent="0.25">
      <c r="B18" s="14" t="s">
        <v>57</v>
      </c>
      <c r="P18" s="15"/>
    </row>
    <row r="19" spans="2:16" x14ac:dyDescent="0.25">
      <c r="B19" s="473" t="s">
        <v>772</v>
      </c>
      <c r="C19" s="471"/>
      <c r="D19" s="471"/>
      <c r="E19" s="471"/>
      <c r="F19" s="471"/>
      <c r="G19" s="471"/>
      <c r="H19" s="471"/>
      <c r="I19" s="471"/>
      <c r="J19" s="471"/>
      <c r="K19" s="471"/>
      <c r="L19" s="471"/>
      <c r="M19" s="471"/>
      <c r="N19" s="471"/>
      <c r="O19" s="471"/>
      <c r="P19" s="472"/>
    </row>
    <row r="20" spans="2:16" ht="6" customHeight="1" x14ac:dyDescent="0.25"/>
    <row r="21" spans="2:16" x14ac:dyDescent="0.25">
      <c r="B21" s="14" t="s">
        <v>58</v>
      </c>
      <c r="H21" s="15"/>
      <c r="J21" s="14" t="s">
        <v>59</v>
      </c>
      <c r="N21" s="15"/>
      <c r="P21" s="16" t="s">
        <v>60</v>
      </c>
    </row>
    <row r="22" spans="2:16" x14ac:dyDescent="0.25">
      <c r="B22" s="473" t="s">
        <v>773</v>
      </c>
      <c r="C22" s="471"/>
      <c r="D22" s="471"/>
      <c r="E22" s="471"/>
      <c r="F22" s="471"/>
      <c r="G22" s="471"/>
      <c r="H22" s="472"/>
      <c r="I22" s="17"/>
      <c r="J22" s="473" t="s">
        <v>774</v>
      </c>
      <c r="K22" s="471"/>
      <c r="L22" s="471"/>
      <c r="M22" s="471"/>
      <c r="N22" s="472"/>
      <c r="O22" s="18"/>
      <c r="P22" s="19" t="s">
        <v>775</v>
      </c>
    </row>
    <row r="23" spans="2:16" ht="6" customHeight="1" x14ac:dyDescent="0.25"/>
    <row r="24" spans="2:16" x14ac:dyDescent="0.25">
      <c r="B24" s="14" t="s">
        <v>61</v>
      </c>
      <c r="D24" s="15"/>
      <c r="F24" s="14" t="s">
        <v>306</v>
      </c>
      <c r="H24" s="15"/>
      <c r="J24" s="14" t="s">
        <v>62</v>
      </c>
      <c r="L24" s="15"/>
      <c r="N24" s="14" t="s">
        <v>63</v>
      </c>
      <c r="P24" s="15"/>
    </row>
    <row r="25" spans="2:16" x14ac:dyDescent="0.25">
      <c r="B25" s="474"/>
      <c r="C25" s="464"/>
      <c r="D25" s="465"/>
      <c r="E25" s="17"/>
      <c r="F25" s="466">
        <f>+'BDI OBRA - ONERADO'!I31/100</f>
        <v>0.21960000000000002</v>
      </c>
      <c r="G25" s="467"/>
      <c r="H25" s="468"/>
      <c r="I25" s="17"/>
      <c r="J25" s="475">
        <f>'ENCARGOS SOCIAIS'!F49</f>
        <v>1.1186</v>
      </c>
      <c r="K25" s="467"/>
      <c r="L25" s="468"/>
      <c r="M25" s="17"/>
      <c r="N25" s="476" t="s">
        <v>777</v>
      </c>
      <c r="O25" s="464"/>
      <c r="P25" s="465"/>
    </row>
    <row r="26" spans="2:16" ht="6" customHeight="1" x14ac:dyDescent="0.25"/>
    <row r="27" spans="2:16" x14ac:dyDescent="0.25">
      <c r="B27" s="14" t="s">
        <v>27</v>
      </c>
      <c r="D27" s="15"/>
      <c r="F27" s="14" t="s">
        <v>307</v>
      </c>
      <c r="H27" s="15"/>
      <c r="J27" s="14" t="s">
        <v>64</v>
      </c>
      <c r="L27" s="15"/>
      <c r="N27" s="14" t="s">
        <v>9</v>
      </c>
      <c r="P27" s="15"/>
    </row>
    <row r="28" spans="2:16" x14ac:dyDescent="0.25">
      <c r="B28" s="463" t="s">
        <v>776</v>
      </c>
      <c r="C28" s="464"/>
      <c r="D28" s="465"/>
      <c r="E28" s="17"/>
      <c r="F28" s="466">
        <f>+'BDI DIFERENCIADO - ONERADO'!I31/100</f>
        <v>0.1527</v>
      </c>
      <c r="G28" s="467"/>
      <c r="H28" s="468"/>
      <c r="I28" s="17"/>
      <c r="J28" s="466">
        <f>'ENCARGOS SOCIAIS'!G49</f>
        <v>0.70630000000000004</v>
      </c>
      <c r="K28" s="467"/>
      <c r="L28" s="468"/>
      <c r="N28" s="469">
        <v>44733</v>
      </c>
      <c r="O28" s="464"/>
      <c r="P28" s="465"/>
    </row>
    <row r="29" spans="2:16" ht="6" customHeight="1" x14ac:dyDescent="0.25"/>
    <row r="30" spans="2:16" x14ac:dyDescent="0.25">
      <c r="B30" s="14" t="s">
        <v>44</v>
      </c>
      <c r="P30" s="15"/>
    </row>
    <row r="31" spans="2:16" ht="46.7" customHeight="1" x14ac:dyDescent="0.25">
      <c r="B31" s="470" t="s">
        <v>1638</v>
      </c>
      <c r="C31" s="471"/>
      <c r="D31" s="471"/>
      <c r="E31" s="471"/>
      <c r="F31" s="471"/>
      <c r="G31" s="471"/>
      <c r="H31" s="471"/>
      <c r="I31" s="471"/>
      <c r="J31" s="471"/>
      <c r="K31" s="471"/>
      <c r="L31" s="471"/>
      <c r="M31" s="471"/>
      <c r="N31" s="471"/>
      <c r="O31" s="471"/>
      <c r="P31" s="472"/>
    </row>
    <row r="35" spans="8:8" x14ac:dyDescent="0.25">
      <c r="H35"/>
    </row>
  </sheetData>
  <mergeCells count="17">
    <mergeCell ref="B19:P19"/>
    <mergeCell ref="B1:C7"/>
    <mergeCell ref="N1:P7"/>
    <mergeCell ref="B10:P10"/>
    <mergeCell ref="B13:P13"/>
    <mergeCell ref="B16:P16"/>
    <mergeCell ref="B22:H22"/>
    <mergeCell ref="J22:N22"/>
    <mergeCell ref="B25:D25"/>
    <mergeCell ref="F25:H25"/>
    <mergeCell ref="J25:L25"/>
    <mergeCell ref="N25:P25"/>
    <mergeCell ref="B28:D28"/>
    <mergeCell ref="F28:H28"/>
    <mergeCell ref="J28:L28"/>
    <mergeCell ref="N28:P28"/>
    <mergeCell ref="B31:P31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83" orientation="portrait" horizontalDpi="1200" verticalDpi="1200" r:id="rId1"/>
  <headerFooter>
    <oddFooter>&amp;L&amp;"Arial Narrow,Normal"&amp;10&amp;A
&amp;F&amp;C&amp;"Arial Narrow,Negrito"&amp;10ENG. CIVIL THIAGO ALVES SILVA&amp;"Arial Narrow,Normal"
CREA 1004804750/D-GO&amp;R&amp;"Arial Narrow,Normal"&amp;10Página &amp;P de &amp;N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B1:H102"/>
  <sheetViews>
    <sheetView showGridLines="0" view="pageBreakPreview" topLeftCell="A28" zoomScale="85" zoomScaleNormal="100" zoomScaleSheetLayoutView="85" workbookViewId="0">
      <selection activeCell="W34" sqref="W34"/>
    </sheetView>
  </sheetViews>
  <sheetFormatPr defaultColWidth="9.140625" defaultRowHeight="12.75" x14ac:dyDescent="0.25"/>
  <cols>
    <col min="1" max="1" width="1.5703125" style="109" customWidth="1"/>
    <col min="2" max="2" width="9" style="109" customWidth="1"/>
    <col min="3" max="3" width="91.5703125" style="109" customWidth="1"/>
    <col min="4" max="4" width="11.5703125" style="109" customWidth="1"/>
    <col min="5" max="5" width="14.42578125" style="109" customWidth="1"/>
    <col min="6" max="6" width="11.85546875" style="321" customWidth="1"/>
    <col min="7" max="7" width="11.5703125" style="321" customWidth="1"/>
    <col min="8" max="8" width="1.5703125" style="109" customWidth="1"/>
    <col min="9" max="16384" width="9.140625" style="109"/>
  </cols>
  <sheetData>
    <row r="1" spans="2:8" s="58" customFormat="1" ht="9.9499999999999993" customHeight="1" x14ac:dyDescent="0.25">
      <c r="B1" s="645" t="s">
        <v>329</v>
      </c>
      <c r="C1" s="645"/>
      <c r="D1" s="645"/>
      <c r="E1" s="645"/>
      <c r="F1" s="645"/>
      <c r="G1" s="645"/>
      <c r="H1" s="305"/>
    </row>
    <row r="2" spans="2:8" s="58" customFormat="1" ht="9.9499999999999993" customHeight="1" x14ac:dyDescent="0.25">
      <c r="B2" s="645"/>
      <c r="C2" s="645"/>
      <c r="D2" s="645"/>
      <c r="E2" s="645"/>
      <c r="F2" s="645"/>
      <c r="G2" s="645"/>
      <c r="H2" s="305"/>
    </row>
    <row r="3" spans="2:8" s="58" customFormat="1" ht="9.9499999999999993" customHeight="1" x14ac:dyDescent="0.25">
      <c r="B3" s="645"/>
      <c r="C3" s="645"/>
      <c r="D3" s="645"/>
      <c r="E3" s="645"/>
      <c r="F3" s="645"/>
      <c r="G3" s="645"/>
      <c r="H3" s="305"/>
    </row>
    <row r="4" spans="2:8" s="58" customFormat="1" ht="9.9499999999999993" customHeight="1" x14ac:dyDescent="0.25">
      <c r="B4" s="645"/>
      <c r="C4" s="645"/>
      <c r="D4" s="645"/>
      <c r="E4" s="645"/>
      <c r="F4" s="645"/>
      <c r="G4" s="645"/>
      <c r="H4" s="305"/>
    </row>
    <row r="5" spans="2:8" s="58" customFormat="1" ht="9.9499999999999993" customHeight="1" x14ac:dyDescent="0.25">
      <c r="B5" s="645"/>
      <c r="C5" s="645"/>
      <c r="D5" s="645"/>
      <c r="E5" s="645"/>
      <c r="F5" s="645"/>
      <c r="G5" s="645"/>
      <c r="H5" s="305"/>
    </row>
    <row r="6" spans="2:8" s="58" customFormat="1" ht="9.9499999999999993" customHeight="1" x14ac:dyDescent="0.25">
      <c r="B6" s="645"/>
      <c r="C6" s="645"/>
      <c r="D6" s="645"/>
      <c r="E6" s="645"/>
      <c r="F6" s="645"/>
      <c r="G6" s="645"/>
      <c r="H6" s="305"/>
    </row>
    <row r="7" spans="2:8" s="58" customFormat="1" ht="15" customHeight="1" x14ac:dyDescent="0.25">
      <c r="D7" s="9"/>
      <c r="E7" s="9"/>
      <c r="F7" s="10" t="s">
        <v>50</v>
      </c>
      <c r="G7" s="11" t="str">
        <f>+'CURVA ABC - SERVIÇOS'!G8</f>
        <v>22/11/2021</v>
      </c>
    </row>
    <row r="8" spans="2:8" s="12" customFormat="1" ht="15" customHeight="1" x14ac:dyDescent="0.25">
      <c r="B8" s="8" t="s">
        <v>49</v>
      </c>
      <c r="C8" s="13" t="str">
        <f>'DADOS DA OBRA'!$B$13</f>
        <v>TRIBUNAL REGIONAL ELEITORAL - PIAUÍ</v>
      </c>
      <c r="F8" s="10" t="s">
        <v>51</v>
      </c>
      <c r="G8" s="11">
        <f>+'CURVA ABC - SERVIÇOS'!G9</f>
        <v>44733</v>
      </c>
    </row>
    <row r="9" spans="2:8" s="12" customFormat="1" ht="15" customHeight="1" x14ac:dyDescent="0.25">
      <c r="B9" s="8" t="s">
        <v>68</v>
      </c>
      <c r="C9" s="13" t="str">
        <f>'DADOS DA OBRA'!$B$16</f>
        <v>SUBSTITUIÇÃO DE INSTALAÇÕES ELÉTRICAS E CABEAMENTO ESTRUTURADO - EDIFÍCIO ANEXO</v>
      </c>
      <c r="F9" s="10" t="s">
        <v>70</v>
      </c>
      <c r="G9" s="52">
        <f>+'CURVA ABC - SERVIÇOS'!J8</f>
        <v>1.1186</v>
      </c>
    </row>
    <row r="10" spans="2:8" s="12" customFormat="1" ht="15" customHeight="1" x14ac:dyDescent="0.25">
      <c r="B10" s="8" t="s">
        <v>52</v>
      </c>
      <c r="C10" s="9" t="str">
        <f>+""&amp;'DADOS DA OBRA'!$B$19&amp;", "&amp;'DADOS DA OBRA'!$J$22&amp;", "&amp;'DADOS DA OBRA'!$P$22</f>
        <v>PRAÇA EDGAR NOGUEIRA, TERESINA, PI</v>
      </c>
      <c r="F10" s="10" t="s">
        <v>71</v>
      </c>
      <c r="G10" s="52">
        <f>+'CURVA ABC - SERVIÇOS'!J9</f>
        <v>0.70630000000000004</v>
      </c>
    </row>
    <row r="11" spans="2:8" s="12" customFormat="1" ht="15" customHeight="1" x14ac:dyDescent="0.25">
      <c r="B11" s="8" t="s">
        <v>69</v>
      </c>
      <c r="C11" s="13" t="str">
        <f>+'DADOS DA OBRA'!$B$31</f>
        <v>SINAPI - 04/2022 - PIAUÍ 	 SBC - 05/2022 - TSA - Teresina - PI ORSE - 03/2022 - SERGIPE 	 SETOP - 03/2022 - Minas Gerais - Central SUDECAP - 02/2022 - MINAS GERAIS 	 CPOS - 02/2022 - São Paulo AGESUL - 01/2022 - MATO GROSSO DO SUL 	 AGETOP CIVIL - 04/2022 - Goiás EMOP - 04/2022 - RIO DE JANEIRO</v>
      </c>
      <c r="D11" s="10" t="s">
        <v>330</v>
      </c>
      <c r="E11" s="52">
        <f>+'CURVA ABC - SERVIÇOS'!J10</f>
        <v>0.21960000000000002</v>
      </c>
      <c r="F11" s="10" t="s">
        <v>396</v>
      </c>
      <c r="G11" s="52">
        <f>+'CURVA ABC - SERVIÇOS'!J11</f>
        <v>0.1527</v>
      </c>
    </row>
    <row r="12" spans="2:8" s="306" customFormat="1" ht="6.95" customHeight="1" thickBot="1" x14ac:dyDescent="0.3">
      <c r="G12" s="73"/>
      <c r="H12" s="74"/>
    </row>
    <row r="13" spans="2:8" ht="24.95" customHeight="1" x14ac:dyDescent="0.25">
      <c r="B13" s="646" t="s">
        <v>45</v>
      </c>
      <c r="C13" s="647" t="s">
        <v>271</v>
      </c>
      <c r="D13" s="649" t="s">
        <v>331</v>
      </c>
      <c r="E13" s="649"/>
      <c r="F13" s="650" t="s">
        <v>332</v>
      </c>
      <c r="G13" s="651"/>
    </row>
    <row r="14" spans="2:8" ht="24.95" customHeight="1" thickBot="1" x14ac:dyDescent="0.3">
      <c r="B14" s="643"/>
      <c r="C14" s="648"/>
      <c r="D14" s="307" t="s">
        <v>333</v>
      </c>
      <c r="E14" s="307" t="s">
        <v>334</v>
      </c>
      <c r="F14" s="307" t="s">
        <v>333</v>
      </c>
      <c r="G14" s="308" t="s">
        <v>334</v>
      </c>
    </row>
    <row r="15" spans="2:8" ht="24.95" customHeight="1" x14ac:dyDescent="0.25">
      <c r="B15" s="652" t="s">
        <v>335</v>
      </c>
      <c r="C15" s="653"/>
      <c r="D15" s="653"/>
      <c r="E15" s="653"/>
      <c r="F15" s="653"/>
      <c r="G15" s="654"/>
    </row>
    <row r="16" spans="2:8" ht="24.95" customHeight="1" x14ac:dyDescent="0.25">
      <c r="B16" s="309" t="s">
        <v>336</v>
      </c>
      <c r="C16" s="310" t="s">
        <v>337</v>
      </c>
      <c r="D16" s="311">
        <v>0</v>
      </c>
      <c r="E16" s="311">
        <v>0</v>
      </c>
      <c r="F16" s="311">
        <v>0.2</v>
      </c>
      <c r="G16" s="312">
        <v>0.2</v>
      </c>
    </row>
    <row r="17" spans="2:7" ht="24.95" customHeight="1" x14ac:dyDescent="0.25">
      <c r="B17" s="309" t="s">
        <v>338</v>
      </c>
      <c r="C17" s="310" t="s">
        <v>339</v>
      </c>
      <c r="D17" s="311">
        <v>1.4999999999999999E-2</v>
      </c>
      <c r="E17" s="311">
        <v>1.4999999999999999E-2</v>
      </c>
      <c r="F17" s="311">
        <v>1.4999999999999999E-2</v>
      </c>
      <c r="G17" s="312">
        <v>1.4999999999999999E-2</v>
      </c>
    </row>
    <row r="18" spans="2:7" ht="24.95" customHeight="1" x14ac:dyDescent="0.25">
      <c r="B18" s="309" t="s">
        <v>340</v>
      </c>
      <c r="C18" s="310" t="s">
        <v>341</v>
      </c>
      <c r="D18" s="311">
        <v>0.01</v>
      </c>
      <c r="E18" s="311">
        <v>0.01</v>
      </c>
      <c r="F18" s="311">
        <v>0.01</v>
      </c>
      <c r="G18" s="312">
        <v>0.01</v>
      </c>
    </row>
    <row r="19" spans="2:7" ht="24.95" customHeight="1" x14ac:dyDescent="0.25">
      <c r="B19" s="309" t="s">
        <v>342</v>
      </c>
      <c r="C19" s="310" t="s">
        <v>343</v>
      </c>
      <c r="D19" s="311">
        <v>2E-3</v>
      </c>
      <c r="E19" s="311">
        <v>2E-3</v>
      </c>
      <c r="F19" s="311">
        <v>2E-3</v>
      </c>
      <c r="G19" s="312">
        <v>2E-3</v>
      </c>
    </row>
    <row r="20" spans="2:7" ht="24.95" customHeight="1" x14ac:dyDescent="0.25">
      <c r="B20" s="309" t="s">
        <v>344</v>
      </c>
      <c r="C20" s="310" t="s">
        <v>345</v>
      </c>
      <c r="D20" s="311">
        <v>6.0000000000000001E-3</v>
      </c>
      <c r="E20" s="311">
        <v>6.0000000000000001E-3</v>
      </c>
      <c r="F20" s="311">
        <v>6.0000000000000001E-3</v>
      </c>
      <c r="G20" s="312">
        <v>6.0000000000000001E-3</v>
      </c>
    </row>
    <row r="21" spans="2:7" ht="24.95" customHeight="1" x14ac:dyDescent="0.25">
      <c r="B21" s="309" t="s">
        <v>346</v>
      </c>
      <c r="C21" s="310" t="s">
        <v>347</v>
      </c>
      <c r="D21" s="311">
        <v>2.5000000000000001E-2</v>
      </c>
      <c r="E21" s="311">
        <v>2.5000000000000001E-2</v>
      </c>
      <c r="F21" s="311">
        <v>2.5000000000000001E-2</v>
      </c>
      <c r="G21" s="312">
        <v>2.5000000000000001E-2</v>
      </c>
    </row>
    <row r="22" spans="2:7" ht="24.95" customHeight="1" x14ac:dyDescent="0.25">
      <c r="B22" s="309" t="s">
        <v>348</v>
      </c>
      <c r="C22" s="310" t="s">
        <v>349</v>
      </c>
      <c r="D22" s="311">
        <v>0.03</v>
      </c>
      <c r="E22" s="311">
        <v>0.03</v>
      </c>
      <c r="F22" s="311">
        <v>0.03</v>
      </c>
      <c r="G22" s="312">
        <v>0.03</v>
      </c>
    </row>
    <row r="23" spans="2:7" ht="24.95" customHeight="1" x14ac:dyDescent="0.25">
      <c r="B23" s="309" t="s">
        <v>350</v>
      </c>
      <c r="C23" s="310" t="s">
        <v>351</v>
      </c>
      <c r="D23" s="311">
        <v>0.08</v>
      </c>
      <c r="E23" s="311">
        <v>0.08</v>
      </c>
      <c r="F23" s="311">
        <v>0.08</v>
      </c>
      <c r="G23" s="312">
        <v>0.08</v>
      </c>
    </row>
    <row r="24" spans="2:7" ht="24.95" customHeight="1" x14ac:dyDescent="0.25">
      <c r="B24" s="309" t="s">
        <v>352</v>
      </c>
      <c r="C24" s="310" t="s">
        <v>353</v>
      </c>
      <c r="D24" s="311">
        <v>0</v>
      </c>
      <c r="E24" s="311">
        <v>0</v>
      </c>
      <c r="F24" s="311">
        <v>0</v>
      </c>
      <c r="G24" s="312">
        <v>0</v>
      </c>
    </row>
    <row r="25" spans="2:7" ht="24.95" customHeight="1" x14ac:dyDescent="0.25">
      <c r="B25" s="313" t="s">
        <v>290</v>
      </c>
      <c r="C25" s="314" t="s">
        <v>4</v>
      </c>
      <c r="D25" s="315">
        <f>SUM(D16:D24)</f>
        <v>0.16799999999999998</v>
      </c>
      <c r="E25" s="315">
        <f t="shared" ref="E25:G25" si="0">SUM(E16:E24)</f>
        <v>0.16799999999999998</v>
      </c>
      <c r="F25" s="315">
        <f t="shared" si="0"/>
        <v>0.36800000000000005</v>
      </c>
      <c r="G25" s="316">
        <f t="shared" si="0"/>
        <v>0.36800000000000005</v>
      </c>
    </row>
    <row r="26" spans="2:7" ht="24.95" customHeight="1" x14ac:dyDescent="0.25">
      <c r="B26" s="640" t="s">
        <v>354</v>
      </c>
      <c r="C26" s="641"/>
      <c r="D26" s="641"/>
      <c r="E26" s="641"/>
      <c r="F26" s="641"/>
      <c r="G26" s="642"/>
    </row>
    <row r="27" spans="2:7" ht="24.95" customHeight="1" x14ac:dyDescent="0.25">
      <c r="B27" s="309" t="s">
        <v>355</v>
      </c>
      <c r="C27" s="310" t="s">
        <v>356</v>
      </c>
      <c r="D27" s="311">
        <v>0.17810000000000001</v>
      </c>
      <c r="E27" s="317" t="s">
        <v>357</v>
      </c>
      <c r="F27" s="311">
        <v>0.17810000000000001</v>
      </c>
      <c r="G27" s="317" t="s">
        <v>357</v>
      </c>
    </row>
    <row r="28" spans="2:7" ht="24.95" customHeight="1" x14ac:dyDescent="0.25">
      <c r="B28" s="309" t="s">
        <v>358</v>
      </c>
      <c r="C28" s="310" t="s">
        <v>359</v>
      </c>
      <c r="D28" s="311">
        <v>3.95E-2</v>
      </c>
      <c r="E28" s="317" t="s">
        <v>357</v>
      </c>
      <c r="F28" s="311">
        <v>3.95E-2</v>
      </c>
      <c r="G28" s="317" t="s">
        <v>357</v>
      </c>
    </row>
    <row r="29" spans="2:7" ht="24.95" customHeight="1" x14ac:dyDescent="0.25">
      <c r="B29" s="309" t="s">
        <v>360</v>
      </c>
      <c r="C29" s="310" t="s">
        <v>361</v>
      </c>
      <c r="D29" s="311">
        <v>8.5000000000000006E-3</v>
      </c>
      <c r="E29" s="311">
        <v>6.6E-3</v>
      </c>
      <c r="F29" s="311">
        <v>8.5000000000000006E-3</v>
      </c>
      <c r="G29" s="311">
        <v>6.6E-3</v>
      </c>
    </row>
    <row r="30" spans="2:7" ht="24.95" customHeight="1" x14ac:dyDescent="0.25">
      <c r="B30" s="309" t="s">
        <v>362</v>
      </c>
      <c r="C30" s="310" t="s">
        <v>363</v>
      </c>
      <c r="D30" s="311">
        <v>0.1077</v>
      </c>
      <c r="E30" s="311">
        <v>8.3299999999999999E-2</v>
      </c>
      <c r="F30" s="311">
        <v>0.1077</v>
      </c>
      <c r="G30" s="311">
        <v>8.3299999999999999E-2</v>
      </c>
    </row>
    <row r="31" spans="2:7" ht="24.95" customHeight="1" x14ac:dyDescent="0.25">
      <c r="B31" s="309" t="s">
        <v>364</v>
      </c>
      <c r="C31" s="310" t="s">
        <v>365</v>
      </c>
      <c r="D31" s="311">
        <v>6.9999999999999999E-4</v>
      </c>
      <c r="E31" s="311">
        <v>5.9999999999999995E-4</v>
      </c>
      <c r="F31" s="311">
        <v>6.9999999999999999E-4</v>
      </c>
      <c r="G31" s="311">
        <v>5.9999999999999995E-4</v>
      </c>
    </row>
    <row r="32" spans="2:7" ht="24.95" customHeight="1" x14ac:dyDescent="0.25">
      <c r="B32" s="309" t="s">
        <v>366</v>
      </c>
      <c r="C32" s="310" t="s">
        <v>367</v>
      </c>
      <c r="D32" s="311">
        <v>7.1999999999999998E-3</v>
      </c>
      <c r="E32" s="311">
        <v>5.5999999999999999E-3</v>
      </c>
      <c r="F32" s="311">
        <v>7.1999999999999998E-3</v>
      </c>
      <c r="G32" s="311">
        <v>5.5999999999999999E-3</v>
      </c>
    </row>
    <row r="33" spans="2:7" ht="24.95" customHeight="1" x14ac:dyDescent="0.25">
      <c r="B33" s="309" t="s">
        <v>368</v>
      </c>
      <c r="C33" s="310" t="s">
        <v>369</v>
      </c>
      <c r="D33" s="311">
        <v>1.1599999999999999E-2</v>
      </c>
      <c r="E33" s="317" t="s">
        <v>357</v>
      </c>
      <c r="F33" s="311">
        <v>1.1599999999999999E-2</v>
      </c>
      <c r="G33" s="317" t="s">
        <v>357</v>
      </c>
    </row>
    <row r="34" spans="2:7" ht="24.95" customHeight="1" x14ac:dyDescent="0.25">
      <c r="B34" s="309" t="s">
        <v>370</v>
      </c>
      <c r="C34" s="310" t="s">
        <v>371</v>
      </c>
      <c r="D34" s="311">
        <v>1E-3</v>
      </c>
      <c r="E34" s="311">
        <v>8.0000000000000004E-4</v>
      </c>
      <c r="F34" s="311">
        <v>1E-3</v>
      </c>
      <c r="G34" s="311">
        <v>8.0000000000000004E-4</v>
      </c>
    </row>
    <row r="35" spans="2:7" ht="24.95" customHeight="1" x14ac:dyDescent="0.25">
      <c r="B35" s="309" t="s">
        <v>372</v>
      </c>
      <c r="C35" s="310" t="s">
        <v>373</v>
      </c>
      <c r="D35" s="311">
        <v>8.5699999999999998E-2</v>
      </c>
      <c r="E35" s="311">
        <v>6.6299999999999998E-2</v>
      </c>
      <c r="F35" s="311">
        <v>8.5699999999999998E-2</v>
      </c>
      <c r="G35" s="311">
        <v>6.6299999999999998E-2</v>
      </c>
    </row>
    <row r="36" spans="2:7" ht="24.95" customHeight="1" x14ac:dyDescent="0.25">
      <c r="B36" s="309" t="s">
        <v>374</v>
      </c>
      <c r="C36" s="310" t="s">
        <v>375</v>
      </c>
      <c r="D36" s="311">
        <v>2.9999999999999997E-4</v>
      </c>
      <c r="E36" s="311">
        <v>2.0000000000000001E-4</v>
      </c>
      <c r="F36" s="311">
        <v>2.9999999999999997E-4</v>
      </c>
      <c r="G36" s="311">
        <v>2.0000000000000001E-4</v>
      </c>
    </row>
    <row r="37" spans="2:7" ht="24.95" customHeight="1" x14ac:dyDescent="0.25">
      <c r="B37" s="313" t="s">
        <v>274</v>
      </c>
      <c r="C37" s="314" t="s">
        <v>4</v>
      </c>
      <c r="D37" s="315">
        <f>SUM(D27:D36)</f>
        <v>0.44030000000000002</v>
      </c>
      <c r="E37" s="315">
        <f t="shared" ref="E37:G37" si="1">SUM(E27:E36)</f>
        <v>0.16339999999999999</v>
      </c>
      <c r="F37" s="315">
        <f t="shared" si="1"/>
        <v>0.44030000000000002</v>
      </c>
      <c r="G37" s="316">
        <f t="shared" si="1"/>
        <v>0.16339999999999999</v>
      </c>
    </row>
    <row r="38" spans="2:7" ht="24.95" customHeight="1" x14ac:dyDescent="0.25">
      <c r="B38" s="640" t="s">
        <v>376</v>
      </c>
      <c r="C38" s="641"/>
      <c r="D38" s="641"/>
      <c r="E38" s="641"/>
      <c r="F38" s="641"/>
      <c r="G38" s="642"/>
    </row>
    <row r="39" spans="2:7" ht="24.95" customHeight="1" x14ac:dyDescent="0.25">
      <c r="B39" s="309" t="s">
        <v>377</v>
      </c>
      <c r="C39" s="310" t="s">
        <v>378</v>
      </c>
      <c r="D39" s="311">
        <v>5.21E-2</v>
      </c>
      <c r="E39" s="311">
        <v>4.0300000000000002E-2</v>
      </c>
      <c r="F39" s="311">
        <v>5.21E-2</v>
      </c>
      <c r="G39" s="311">
        <v>4.0300000000000002E-2</v>
      </c>
    </row>
    <row r="40" spans="2:7" ht="24.95" customHeight="1" x14ac:dyDescent="0.25">
      <c r="B40" s="309" t="s">
        <v>379</v>
      </c>
      <c r="C40" s="310" t="s">
        <v>380</v>
      </c>
      <c r="D40" s="311">
        <v>1.1999999999999999E-3</v>
      </c>
      <c r="E40" s="311">
        <v>8.9999999999999998E-4</v>
      </c>
      <c r="F40" s="311">
        <v>1.1999999999999999E-3</v>
      </c>
      <c r="G40" s="311">
        <v>8.9999999999999998E-4</v>
      </c>
    </row>
    <row r="41" spans="2:7" ht="24.95" customHeight="1" x14ac:dyDescent="0.25">
      <c r="B41" s="309" t="s">
        <v>381</v>
      </c>
      <c r="C41" s="310" t="s">
        <v>382</v>
      </c>
      <c r="D41" s="311">
        <v>4.7899999999999998E-2</v>
      </c>
      <c r="E41" s="311">
        <v>3.7100000000000001E-2</v>
      </c>
      <c r="F41" s="311">
        <v>4.7899999999999998E-2</v>
      </c>
      <c r="G41" s="311">
        <v>3.7100000000000001E-2</v>
      </c>
    </row>
    <row r="42" spans="2:7" ht="24.95" customHeight="1" x14ac:dyDescent="0.25">
      <c r="B42" s="309" t="s">
        <v>383</v>
      </c>
      <c r="C42" s="310" t="s">
        <v>384</v>
      </c>
      <c r="D42" s="311">
        <v>3.8100000000000002E-2</v>
      </c>
      <c r="E42" s="311">
        <v>2.9499999999999998E-2</v>
      </c>
      <c r="F42" s="311">
        <v>3.8100000000000002E-2</v>
      </c>
      <c r="G42" s="311">
        <v>2.9499999999999998E-2</v>
      </c>
    </row>
    <row r="43" spans="2:7" ht="24.95" customHeight="1" x14ac:dyDescent="0.25">
      <c r="B43" s="309" t="s">
        <v>385</v>
      </c>
      <c r="C43" s="310" t="s">
        <v>386</v>
      </c>
      <c r="D43" s="311">
        <v>4.4000000000000003E-3</v>
      </c>
      <c r="E43" s="311">
        <v>3.3999999999999998E-3</v>
      </c>
      <c r="F43" s="311">
        <v>4.4000000000000003E-3</v>
      </c>
      <c r="G43" s="311">
        <v>3.3999999999999998E-3</v>
      </c>
    </row>
    <row r="44" spans="2:7" ht="24.95" customHeight="1" x14ac:dyDescent="0.25">
      <c r="B44" s="313" t="s">
        <v>387</v>
      </c>
      <c r="C44" s="314" t="s">
        <v>4</v>
      </c>
      <c r="D44" s="315">
        <f>SUM(D39:D43)</f>
        <v>0.14369999999999999</v>
      </c>
      <c r="E44" s="315">
        <f t="shared" ref="E44:G44" si="2">SUM(E39:E43)</f>
        <v>0.11120000000000001</v>
      </c>
      <c r="F44" s="315">
        <f t="shared" si="2"/>
        <v>0.14369999999999999</v>
      </c>
      <c r="G44" s="316">
        <f t="shared" si="2"/>
        <v>0.11120000000000001</v>
      </c>
    </row>
    <row r="45" spans="2:7" ht="24.95" customHeight="1" x14ac:dyDescent="0.25">
      <c r="B45" s="640" t="s">
        <v>388</v>
      </c>
      <c r="C45" s="641"/>
      <c r="D45" s="641"/>
      <c r="E45" s="641"/>
      <c r="F45" s="641"/>
      <c r="G45" s="642"/>
    </row>
    <row r="46" spans="2:7" ht="24.95" customHeight="1" x14ac:dyDescent="0.25">
      <c r="B46" s="309" t="s">
        <v>389</v>
      </c>
      <c r="C46" s="310" t="s">
        <v>390</v>
      </c>
      <c r="D46" s="311">
        <v>7.3999999999999996E-2</v>
      </c>
      <c r="E46" s="311">
        <v>2.75E-2</v>
      </c>
      <c r="F46" s="311">
        <v>0.16200000000000001</v>
      </c>
      <c r="G46" s="312">
        <v>6.0100000000000001E-2</v>
      </c>
    </row>
    <row r="47" spans="2:7" ht="24.95" customHeight="1" x14ac:dyDescent="0.25">
      <c r="B47" s="309" t="s">
        <v>391</v>
      </c>
      <c r="C47" s="318" t="s">
        <v>392</v>
      </c>
      <c r="D47" s="311">
        <v>4.4000000000000003E-3</v>
      </c>
      <c r="E47" s="311">
        <v>3.3999999999999998E-3</v>
      </c>
      <c r="F47" s="311">
        <v>4.5999999999999999E-3</v>
      </c>
      <c r="G47" s="312">
        <v>3.5999999999999999E-3</v>
      </c>
    </row>
    <row r="48" spans="2:7" ht="24.95" customHeight="1" x14ac:dyDescent="0.25">
      <c r="B48" s="313" t="s">
        <v>393</v>
      </c>
      <c r="C48" s="314" t="s">
        <v>4</v>
      </c>
      <c r="D48" s="315">
        <f>SUM(D46:D47)</f>
        <v>7.8399999999999997E-2</v>
      </c>
      <c r="E48" s="315">
        <f t="shared" ref="E48:G48" si="3">SUM(E46:E47)</f>
        <v>3.09E-2</v>
      </c>
      <c r="F48" s="315">
        <f t="shared" si="3"/>
        <v>0.1666</v>
      </c>
      <c r="G48" s="316">
        <f t="shared" si="3"/>
        <v>6.3700000000000007E-2</v>
      </c>
    </row>
    <row r="49" spans="2:7" ht="24.95" customHeight="1" thickBot="1" x14ac:dyDescent="0.3">
      <c r="B49" s="643" t="s">
        <v>394</v>
      </c>
      <c r="C49" s="644"/>
      <c r="D49" s="319">
        <f>SUM(D48,D44,D37,D25)</f>
        <v>0.83040000000000003</v>
      </c>
      <c r="E49" s="319">
        <f>SUM(E48,E44,E37,E25)</f>
        <v>0.47349999999999998</v>
      </c>
      <c r="F49" s="319">
        <f>SUM(F48,F44,F37,F25)</f>
        <v>1.1186</v>
      </c>
      <c r="G49" s="320">
        <f>SUM(G48,G44,G37,G25)</f>
        <v>0.70630000000000004</v>
      </c>
    </row>
    <row r="50" spans="2:7" ht="24.95" customHeight="1" x14ac:dyDescent="0.25"/>
    <row r="51" spans="2:7" ht="24.95" customHeight="1" x14ac:dyDescent="0.25">
      <c r="B51" s="109" t="s">
        <v>395</v>
      </c>
    </row>
    <row r="52" spans="2:7" ht="24.95" customHeight="1" x14ac:dyDescent="0.25"/>
    <row r="53" spans="2:7" ht="24.95" customHeight="1" x14ac:dyDescent="0.25"/>
    <row r="54" spans="2:7" ht="24.95" customHeight="1" x14ac:dyDescent="0.25"/>
    <row r="55" spans="2:7" ht="24.95" customHeight="1" x14ac:dyDescent="0.25"/>
    <row r="56" spans="2:7" ht="24.95" customHeight="1" x14ac:dyDescent="0.25"/>
    <row r="57" spans="2:7" ht="24.95" customHeight="1" x14ac:dyDescent="0.25"/>
    <row r="58" spans="2:7" ht="24.95" customHeight="1" x14ac:dyDescent="0.25"/>
    <row r="59" spans="2:7" ht="24.95" customHeight="1" x14ac:dyDescent="0.25"/>
    <row r="60" spans="2:7" ht="24.95" customHeight="1" x14ac:dyDescent="0.25"/>
    <row r="61" spans="2:7" ht="24.95" customHeight="1" x14ac:dyDescent="0.25"/>
    <row r="62" spans="2:7" ht="24.95" customHeight="1" x14ac:dyDescent="0.25"/>
    <row r="63" spans="2:7" ht="24.95" customHeight="1" x14ac:dyDescent="0.25"/>
    <row r="64" spans="2:7" ht="24.95" customHeight="1" x14ac:dyDescent="0.25"/>
    <row r="65" ht="24.95" customHeight="1" x14ac:dyDescent="0.25"/>
    <row r="66" ht="24.95" customHeight="1" x14ac:dyDescent="0.25"/>
    <row r="67" ht="24.95" customHeight="1" x14ac:dyDescent="0.25"/>
    <row r="68" ht="24.95" customHeight="1" x14ac:dyDescent="0.25"/>
    <row r="69" ht="24.95" customHeight="1" x14ac:dyDescent="0.25"/>
    <row r="70" ht="24.95" customHeight="1" x14ac:dyDescent="0.25"/>
    <row r="71" ht="24.95" customHeight="1" x14ac:dyDescent="0.25"/>
    <row r="72" ht="24.95" customHeight="1" x14ac:dyDescent="0.25"/>
    <row r="73" ht="24.95" customHeight="1" x14ac:dyDescent="0.25"/>
    <row r="74" ht="24.95" customHeight="1" x14ac:dyDescent="0.25"/>
    <row r="75" ht="24.95" customHeight="1" x14ac:dyDescent="0.25"/>
    <row r="76" ht="24.95" customHeight="1" x14ac:dyDescent="0.25"/>
    <row r="77" ht="24.95" customHeight="1" x14ac:dyDescent="0.25"/>
    <row r="78" ht="24.95" customHeight="1" x14ac:dyDescent="0.25"/>
    <row r="79" ht="24.95" customHeight="1" x14ac:dyDescent="0.25"/>
    <row r="80" ht="24.95" customHeight="1" x14ac:dyDescent="0.25"/>
    <row r="81" ht="24.95" customHeight="1" x14ac:dyDescent="0.25"/>
    <row r="82" ht="24.95" customHeight="1" x14ac:dyDescent="0.25"/>
    <row r="83" ht="24.95" customHeight="1" x14ac:dyDescent="0.25"/>
    <row r="84" ht="24.95" customHeight="1" x14ac:dyDescent="0.25"/>
    <row r="85" ht="24.95" customHeight="1" x14ac:dyDescent="0.25"/>
    <row r="86" ht="24.95" customHeight="1" x14ac:dyDescent="0.25"/>
    <row r="87" ht="24.95" customHeight="1" x14ac:dyDescent="0.25"/>
    <row r="88" ht="24.95" customHeight="1" x14ac:dyDescent="0.25"/>
    <row r="89" ht="24.95" customHeight="1" x14ac:dyDescent="0.25"/>
    <row r="90" ht="24.95" customHeight="1" x14ac:dyDescent="0.25"/>
    <row r="91" ht="24.95" customHeight="1" x14ac:dyDescent="0.25"/>
    <row r="92" ht="24.95" customHeight="1" x14ac:dyDescent="0.25"/>
    <row r="93" ht="24.95" customHeight="1" x14ac:dyDescent="0.25"/>
    <row r="94" ht="24.95" customHeight="1" x14ac:dyDescent="0.25"/>
    <row r="95" ht="24.95" customHeight="1" x14ac:dyDescent="0.25"/>
    <row r="96" ht="24.95" customHeight="1" x14ac:dyDescent="0.25"/>
    <row r="97" ht="24.95" customHeight="1" x14ac:dyDescent="0.25"/>
    <row r="98" ht="24.95" customHeight="1" x14ac:dyDescent="0.25"/>
    <row r="99" ht="24.95" customHeight="1" x14ac:dyDescent="0.25"/>
    <row r="100" ht="24.95" customHeight="1" x14ac:dyDescent="0.25"/>
    <row r="101" ht="24.95" customHeight="1" x14ac:dyDescent="0.25"/>
    <row r="102" ht="24.95" customHeight="1" x14ac:dyDescent="0.25"/>
  </sheetData>
  <mergeCells count="10">
    <mergeCell ref="B26:G26"/>
    <mergeCell ref="B38:G38"/>
    <mergeCell ref="B45:G45"/>
    <mergeCell ref="B49:C49"/>
    <mergeCell ref="B1:G6"/>
    <mergeCell ref="B13:B14"/>
    <mergeCell ref="C13:C14"/>
    <mergeCell ref="D13:E13"/>
    <mergeCell ref="F13:G13"/>
    <mergeCell ref="B15:G15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56" orientation="portrait" horizontalDpi="1200" verticalDpi="1200" r:id="rId1"/>
  <headerFooter>
    <oddFooter>&amp;L&amp;"Arial Narrow,Normal"&amp;10&amp;A
&amp;F&amp;R&amp;"Arial Narrow,Normal"&amp;10Página &amp;P de &amp;N</oddFoot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Y218"/>
  <sheetViews>
    <sheetView showGridLines="0" showZeros="0" tabSelected="1" view="pageBreakPreview" topLeftCell="A200" zoomScaleNormal="100" zoomScaleSheetLayoutView="100" workbookViewId="0">
      <selection activeCell="H16" sqref="H16"/>
    </sheetView>
  </sheetViews>
  <sheetFormatPr defaultColWidth="16" defaultRowHeight="12.75" x14ac:dyDescent="0.25"/>
  <cols>
    <col min="1" max="1" width="0.85546875" style="201" customWidth="1"/>
    <col min="2" max="2" width="7.42578125" style="202" customWidth="1"/>
    <col min="3" max="3" width="9.42578125" style="178" customWidth="1"/>
    <col min="4" max="4" width="8.42578125" style="178" customWidth="1"/>
    <col min="5" max="5" width="48.140625" style="201" customWidth="1"/>
    <col min="6" max="6" width="5.5703125" style="202" customWidth="1"/>
    <col min="7" max="7" width="9.85546875" style="243" customWidth="1"/>
    <col min="8" max="8" width="10.85546875" style="202" customWidth="1"/>
    <col min="9" max="10" width="10.140625" style="202" customWidth="1"/>
    <col min="11" max="11" width="11.42578125" style="202" customWidth="1"/>
    <col min="12" max="12" width="11.5703125" style="202" customWidth="1"/>
    <col min="13" max="13" width="13.5703125" style="243" customWidth="1"/>
    <col min="14" max="14" width="10.42578125" style="202" customWidth="1"/>
    <col min="15" max="16" width="10.140625" style="202" customWidth="1"/>
    <col min="17" max="17" width="11.42578125" style="202" customWidth="1"/>
    <col min="18" max="18" width="11.5703125" style="202" customWidth="1"/>
    <col min="19" max="19" width="12.140625" style="202" customWidth="1"/>
    <col min="20" max="20" width="7.42578125" style="202" customWidth="1"/>
    <col min="21" max="21" width="0.85546875" style="202" customWidth="1"/>
    <col min="22" max="16384" width="16" style="202"/>
  </cols>
  <sheetData>
    <row r="1" spans="1:25" s="177" customFormat="1" ht="9.9499999999999993" customHeight="1" x14ac:dyDescent="0.25">
      <c r="B1" s="479" t="s">
        <v>769</v>
      </c>
      <c r="C1" s="480"/>
      <c r="D1" s="480"/>
      <c r="E1" s="480"/>
      <c r="F1" s="480"/>
      <c r="G1" s="480"/>
      <c r="H1" s="480"/>
      <c r="I1" s="480"/>
      <c r="J1" s="480"/>
      <c r="K1" s="480"/>
      <c r="L1" s="480"/>
      <c r="M1" s="480"/>
      <c r="N1" s="480"/>
      <c r="O1" s="480"/>
      <c r="P1" s="480"/>
      <c r="Q1" s="480"/>
      <c r="R1" s="480"/>
      <c r="S1" s="480"/>
      <c r="T1" s="480"/>
    </row>
    <row r="2" spans="1:25" s="177" customFormat="1" ht="9.9499999999999993" customHeight="1" x14ac:dyDescent="0.25">
      <c r="B2" s="480"/>
      <c r="C2" s="480"/>
      <c r="D2" s="480"/>
      <c r="E2" s="480"/>
      <c r="F2" s="480"/>
      <c r="G2" s="480"/>
      <c r="H2" s="480"/>
      <c r="I2" s="480"/>
      <c r="J2" s="480"/>
      <c r="K2" s="480"/>
      <c r="L2" s="480"/>
      <c r="M2" s="480"/>
      <c r="N2" s="480"/>
      <c r="O2" s="480"/>
      <c r="P2" s="480"/>
      <c r="Q2" s="480"/>
      <c r="R2" s="480"/>
      <c r="S2" s="480"/>
      <c r="T2" s="480"/>
    </row>
    <row r="3" spans="1:25" s="177" customFormat="1" ht="9.9499999999999993" customHeight="1" x14ac:dyDescent="0.25">
      <c r="B3" s="480"/>
      <c r="C3" s="480"/>
      <c r="D3" s="480"/>
      <c r="E3" s="480"/>
      <c r="F3" s="480"/>
      <c r="G3" s="480"/>
      <c r="H3" s="480"/>
      <c r="I3" s="480"/>
      <c r="J3" s="480"/>
      <c r="K3" s="480"/>
      <c r="L3" s="480"/>
      <c r="M3" s="480"/>
      <c r="N3" s="480"/>
      <c r="O3" s="480"/>
      <c r="P3" s="480"/>
      <c r="Q3" s="480"/>
      <c r="R3" s="480"/>
      <c r="S3" s="480"/>
      <c r="T3" s="480"/>
    </row>
    <row r="4" spans="1:25" s="177" customFormat="1" ht="9.9499999999999993" customHeight="1" x14ac:dyDescent="0.25">
      <c r="B4" s="480"/>
      <c r="C4" s="480"/>
      <c r="D4" s="480"/>
      <c r="E4" s="480"/>
      <c r="F4" s="480"/>
      <c r="G4" s="480"/>
      <c r="H4" s="480"/>
      <c r="I4" s="480"/>
      <c r="J4" s="480"/>
      <c r="K4" s="480"/>
      <c r="L4" s="480"/>
      <c r="M4" s="480"/>
      <c r="N4" s="480"/>
      <c r="O4" s="480"/>
      <c r="P4" s="480"/>
      <c r="Q4" s="480"/>
      <c r="R4" s="480"/>
      <c r="S4" s="480"/>
      <c r="T4" s="480"/>
    </row>
    <row r="5" spans="1:25" s="177" customFormat="1" ht="9.9499999999999993" customHeight="1" x14ac:dyDescent="0.25">
      <c r="B5" s="480"/>
      <c r="C5" s="480"/>
      <c r="D5" s="480"/>
      <c r="E5" s="480"/>
      <c r="F5" s="480"/>
      <c r="G5" s="480"/>
      <c r="H5" s="480"/>
      <c r="I5" s="480"/>
      <c r="J5" s="480"/>
      <c r="K5" s="480"/>
      <c r="L5" s="480"/>
      <c r="M5" s="480"/>
      <c r="N5" s="480"/>
      <c r="O5" s="480"/>
      <c r="P5" s="480"/>
      <c r="Q5" s="480"/>
      <c r="R5" s="480"/>
      <c r="S5" s="480"/>
      <c r="T5" s="480"/>
    </row>
    <row r="6" spans="1:25" s="177" customFormat="1" ht="9.9499999999999993" customHeight="1" x14ac:dyDescent="0.25">
      <c r="B6" s="480"/>
      <c r="C6" s="480"/>
      <c r="D6" s="480"/>
      <c r="E6" s="480"/>
      <c r="F6" s="480"/>
      <c r="G6" s="480"/>
      <c r="H6" s="480"/>
      <c r="I6" s="480"/>
      <c r="J6" s="480"/>
      <c r="K6" s="480"/>
      <c r="L6" s="480"/>
      <c r="M6" s="480"/>
      <c r="N6" s="480"/>
      <c r="O6" s="480"/>
      <c r="P6" s="480"/>
      <c r="Q6" s="480"/>
      <c r="R6" s="480"/>
      <c r="S6" s="480"/>
      <c r="T6" s="480"/>
    </row>
    <row r="7" spans="1:25" s="177" customFormat="1" x14ac:dyDescent="0.25">
      <c r="C7" s="178"/>
      <c r="M7" s="179"/>
    </row>
    <row r="8" spans="1:25" s="180" customFormat="1" ht="15" customHeight="1" x14ac:dyDescent="0.25">
      <c r="B8" s="181" t="s">
        <v>49</v>
      </c>
      <c r="C8" s="182" t="str">
        <f>'DADOS DA OBRA'!$B$13</f>
        <v>TRIBUNAL REGIONAL ELEITORAL - PIAUÍ</v>
      </c>
      <c r="F8" s="183"/>
      <c r="G8" s="183"/>
      <c r="H8" s="183"/>
      <c r="I8" s="183"/>
      <c r="J8" s="257"/>
      <c r="K8" s="183"/>
      <c r="M8" s="184"/>
      <c r="N8" s="183"/>
      <c r="O8" s="185" t="s">
        <v>144</v>
      </c>
      <c r="P8" s="186" t="str">
        <f>+'DADOS DA OBRA'!$N$25</f>
        <v>22/11/2021</v>
      </c>
      <c r="Q8" s="183"/>
      <c r="S8" s="185" t="s">
        <v>70</v>
      </c>
      <c r="T8" s="187">
        <f>+'DADOS DA OBRA'!$J$25</f>
        <v>1.1186</v>
      </c>
      <c r="V8" s="188"/>
      <c r="Y8" s="189"/>
    </row>
    <row r="9" spans="1:25" s="180" customFormat="1" ht="15" customHeight="1" x14ac:dyDescent="0.25">
      <c r="B9" s="181" t="s">
        <v>68</v>
      </c>
      <c r="C9" s="182" t="str">
        <f>'DADOS DA OBRA'!$B$16</f>
        <v>SUBSTITUIÇÃO DE INSTALAÇÕES ELÉTRICAS E CABEAMENTO ESTRUTURADO - EDIFÍCIO ANEXO</v>
      </c>
      <c r="M9" s="190"/>
      <c r="O9" s="185" t="s">
        <v>51</v>
      </c>
      <c r="P9" s="186">
        <f>'DADOS DA OBRA'!$N$28</f>
        <v>44733</v>
      </c>
      <c r="S9" s="185" t="s">
        <v>71</v>
      </c>
      <c r="T9" s="187">
        <f>+'DADOS DA OBRA'!$J$28</f>
        <v>0.70630000000000004</v>
      </c>
    </row>
    <row r="10" spans="1:25" s="180" customFormat="1" ht="15" customHeight="1" x14ac:dyDescent="0.25">
      <c r="B10" s="181" t="s">
        <v>52</v>
      </c>
      <c r="C10" s="183" t="str">
        <f>+""&amp;'DADOS DA OBRA'!$B$19&amp;", "&amp;'DADOS DA OBRA'!$J$22&amp;", "&amp;'DADOS DA OBRA'!$P$22</f>
        <v>PRAÇA EDGAR NOGUEIRA, TERESINA, PI</v>
      </c>
      <c r="D10" s="183"/>
      <c r="M10" s="190"/>
      <c r="O10" s="185" t="s">
        <v>145</v>
      </c>
      <c r="P10" s="186" t="str">
        <f>+'DADOS DA OBRA'!$B$28</f>
        <v>05 MESES</v>
      </c>
      <c r="S10" s="185" t="s">
        <v>138</v>
      </c>
      <c r="T10" s="187">
        <f>+'BDI OBRA - DESONERADO'!I31/100</f>
        <v>0.28059999999999996</v>
      </c>
    </row>
    <row r="11" spans="1:25" s="180" customFormat="1" ht="36" customHeight="1" x14ac:dyDescent="0.25">
      <c r="B11" s="181" t="s">
        <v>69</v>
      </c>
      <c r="C11" s="491" t="str">
        <f>+'DADOS DA OBRA'!$B$31</f>
        <v>SINAPI - 04/2022 - PIAUÍ 	 SBC - 05/2022 - TSA - Teresina - PI ORSE - 03/2022 - SERGIPE 	 SETOP - 03/2022 - Minas Gerais - Central SUDECAP - 02/2022 - MINAS GERAIS 	 CPOS - 02/2022 - São Paulo AGESUL - 01/2022 - MATO GROSSO DO SUL 	 AGETOP CIVIL - 04/2022 - Goiás EMOP - 04/2022 - RIO DE JANEIRO</v>
      </c>
      <c r="D11" s="491"/>
      <c r="E11" s="491"/>
      <c r="F11" s="491"/>
      <c r="G11" s="491"/>
      <c r="H11" s="491"/>
      <c r="I11" s="491"/>
      <c r="J11" s="491"/>
      <c r="K11" s="491"/>
      <c r="L11" s="491"/>
      <c r="M11" s="491"/>
      <c r="N11" s="491"/>
      <c r="O11" s="491"/>
      <c r="P11" s="186"/>
      <c r="R11" s="185"/>
      <c r="S11" s="185" t="s">
        <v>139</v>
      </c>
      <c r="T11" s="187">
        <f>+'BDI DIFERENCIADO - DESONERADO'!I31/100</f>
        <v>0.20920000000000002</v>
      </c>
    </row>
    <row r="12" spans="1:25" s="191" customFormat="1" ht="6.95" customHeight="1" thickBot="1" x14ac:dyDescent="0.3">
      <c r="C12" s="192"/>
      <c r="I12" s="193"/>
      <c r="J12" s="194"/>
      <c r="K12" s="194"/>
      <c r="L12" s="195"/>
      <c r="M12" s="196"/>
      <c r="O12" s="193"/>
      <c r="P12" s="194"/>
      <c r="Q12" s="194"/>
      <c r="R12" s="195"/>
      <c r="S12" s="197"/>
      <c r="T12" s="198"/>
      <c r="U12" s="199"/>
      <c r="V12" s="200"/>
    </row>
    <row r="13" spans="1:25" ht="24.95" customHeight="1" x14ac:dyDescent="0.25">
      <c r="A13" s="326"/>
      <c r="B13" s="511" t="s">
        <v>21</v>
      </c>
      <c r="C13" s="500" t="s">
        <v>45</v>
      </c>
      <c r="D13" s="500" t="s">
        <v>44</v>
      </c>
      <c r="E13" s="500" t="s">
        <v>28</v>
      </c>
      <c r="F13" s="500" t="s">
        <v>22</v>
      </c>
      <c r="G13" s="513" t="s">
        <v>12</v>
      </c>
      <c r="H13" s="502" t="s">
        <v>140</v>
      </c>
      <c r="I13" s="503"/>
      <c r="J13" s="504"/>
      <c r="K13" s="506" t="s">
        <v>141</v>
      </c>
      <c r="L13" s="507"/>
      <c r="M13" s="508"/>
      <c r="N13" s="502" t="s">
        <v>1269</v>
      </c>
      <c r="O13" s="503"/>
      <c r="P13" s="504"/>
      <c r="Q13" s="505" t="s">
        <v>13</v>
      </c>
      <c r="R13" s="500"/>
      <c r="S13" s="500" t="s">
        <v>10</v>
      </c>
      <c r="T13" s="509" t="s">
        <v>23</v>
      </c>
    </row>
    <row r="14" spans="1:25" ht="24.95" customHeight="1" thickBot="1" x14ac:dyDescent="0.3">
      <c r="A14" s="162"/>
      <c r="B14" s="512"/>
      <c r="C14" s="501"/>
      <c r="D14" s="501"/>
      <c r="E14" s="501"/>
      <c r="F14" s="501"/>
      <c r="G14" s="514"/>
      <c r="H14" s="157" t="s">
        <v>16</v>
      </c>
      <c r="I14" s="158" t="s">
        <v>15</v>
      </c>
      <c r="J14" s="159" t="s">
        <v>10</v>
      </c>
      <c r="K14" s="157" t="s">
        <v>16</v>
      </c>
      <c r="L14" s="158" t="s">
        <v>15</v>
      </c>
      <c r="M14" s="159" t="s">
        <v>10</v>
      </c>
      <c r="N14" s="157" t="s">
        <v>16</v>
      </c>
      <c r="O14" s="158" t="s">
        <v>15</v>
      </c>
      <c r="P14" s="159" t="s">
        <v>10</v>
      </c>
      <c r="Q14" s="157" t="s">
        <v>16</v>
      </c>
      <c r="R14" s="158" t="s">
        <v>15</v>
      </c>
      <c r="S14" s="501"/>
      <c r="T14" s="510"/>
    </row>
    <row r="15" spans="1:25" ht="24.95" customHeight="1" x14ac:dyDescent="0.25">
      <c r="A15" s="162"/>
      <c r="B15" s="326" t="s">
        <v>210</v>
      </c>
      <c r="C15" s="327"/>
      <c r="D15" s="327"/>
      <c r="E15" s="328" t="s">
        <v>111</v>
      </c>
      <c r="F15" s="329"/>
      <c r="G15" s="330"/>
      <c r="H15" s="331"/>
      <c r="I15" s="329"/>
      <c r="J15" s="334"/>
      <c r="K15" s="334">
        <f t="shared" ref="K15:L15" si="0">SUM(K16:K18)</f>
        <v>127306.59999999999</v>
      </c>
      <c r="L15" s="334">
        <f t="shared" si="0"/>
        <v>4895.25</v>
      </c>
      <c r="M15" s="334">
        <f>SUM(M16:M18)</f>
        <v>132201.85</v>
      </c>
      <c r="N15" s="335"/>
      <c r="O15" s="336"/>
      <c r="P15" s="334"/>
      <c r="Q15" s="334">
        <f t="shared" ref="Q15:R15" si="1">SUM(Q16:Q18)</f>
        <v>163028.83195999998</v>
      </c>
      <c r="R15" s="334">
        <f t="shared" si="1"/>
        <v>6268.8571499999998</v>
      </c>
      <c r="S15" s="334">
        <f>SUM(S16:S18)</f>
        <v>169297.66999999998</v>
      </c>
      <c r="T15" s="333">
        <f>+S15/$S$198</f>
        <v>0.10709513381544013</v>
      </c>
    </row>
    <row r="16" spans="1:25" ht="24.95" customHeight="1" x14ac:dyDescent="0.25">
      <c r="A16" s="162"/>
      <c r="B16" s="162" t="s">
        <v>116</v>
      </c>
      <c r="C16" s="160" t="s">
        <v>727</v>
      </c>
      <c r="D16" s="160" t="s">
        <v>31</v>
      </c>
      <c r="E16" s="163" t="s">
        <v>728</v>
      </c>
      <c r="F16" s="160" t="s">
        <v>119</v>
      </c>
      <c r="G16" s="164">
        <v>5</v>
      </c>
      <c r="H16" s="165">
        <v>15750.06</v>
      </c>
      <c r="I16" s="166">
        <v>289.58999999999997</v>
      </c>
      <c r="J16" s="167">
        <f>SUM(H16:I16)</f>
        <v>16039.65</v>
      </c>
      <c r="K16" s="168">
        <f>+H16*G16</f>
        <v>78750.3</v>
      </c>
      <c r="L16" s="169">
        <f>+I16*G16</f>
        <v>1447.9499999999998</v>
      </c>
      <c r="M16" s="170">
        <f t="shared" ref="M16:M18" si="2">TRUNC(SUM(K16:L16),2)</f>
        <v>80198.25</v>
      </c>
      <c r="N16" s="165">
        <f t="shared" ref="N16:O18" si="3">+H16*(1+$T$10)</f>
        <v>20169.526835999997</v>
      </c>
      <c r="O16" s="166">
        <f t="shared" si="3"/>
        <v>370.84895399999994</v>
      </c>
      <c r="P16" s="167">
        <f>TRUNC(SUM(N16:O16),2)</f>
        <v>20540.37</v>
      </c>
      <c r="Q16" s="168">
        <f>+N16*G16</f>
        <v>100847.63417999999</v>
      </c>
      <c r="R16" s="169">
        <f>+O16*G16</f>
        <v>1854.2447699999998</v>
      </c>
      <c r="S16" s="169">
        <f>TRUNC(SUM(Q16:R16),2)</f>
        <v>102701.87</v>
      </c>
      <c r="T16" s="161">
        <f t="shared" ref="T16:T79" si="4">+S16/$S$198</f>
        <v>6.4967642559675728E-2</v>
      </c>
    </row>
    <row r="17" spans="1:23" s="209" customFormat="1" ht="24.95" customHeight="1" x14ac:dyDescent="0.25">
      <c r="A17" s="205"/>
      <c r="B17" s="162" t="s">
        <v>117</v>
      </c>
      <c r="C17" s="160" t="s">
        <v>118</v>
      </c>
      <c r="D17" s="160" t="s">
        <v>31</v>
      </c>
      <c r="E17" s="163" t="s">
        <v>112</v>
      </c>
      <c r="F17" s="160" t="s">
        <v>119</v>
      </c>
      <c r="G17" s="164">
        <v>5</v>
      </c>
      <c r="H17" s="165">
        <v>4613.07</v>
      </c>
      <c r="I17" s="166">
        <v>385.67</v>
      </c>
      <c r="J17" s="167">
        <f t="shared" ref="J17:J18" si="5">SUM(H17:I17)</f>
        <v>4998.74</v>
      </c>
      <c r="K17" s="168">
        <f>+H17*G17</f>
        <v>23065.35</v>
      </c>
      <c r="L17" s="169">
        <f>+I17*G17</f>
        <v>1928.3500000000001</v>
      </c>
      <c r="M17" s="170">
        <f t="shared" si="2"/>
        <v>24993.7</v>
      </c>
      <c r="N17" s="165">
        <f t="shared" si="3"/>
        <v>5907.4974419999999</v>
      </c>
      <c r="O17" s="166">
        <f t="shared" si="3"/>
        <v>493.889002</v>
      </c>
      <c r="P17" s="167">
        <f>TRUNC(SUM(N17:O17),2)</f>
        <v>6401.38</v>
      </c>
      <c r="Q17" s="168">
        <f>+N17*G17</f>
        <v>29537.487209999999</v>
      </c>
      <c r="R17" s="169">
        <f>+O17*G17</f>
        <v>2469.4450099999999</v>
      </c>
      <c r="S17" s="169">
        <f>TRUNC(SUM(Q17:R17),2)</f>
        <v>32006.93</v>
      </c>
      <c r="T17" s="161">
        <f t="shared" si="4"/>
        <v>2.0247097620253281E-2</v>
      </c>
      <c r="V17" s="202"/>
      <c r="W17" s="202"/>
    </row>
    <row r="18" spans="1:23" ht="24.95" customHeight="1" x14ac:dyDescent="0.25">
      <c r="A18" s="326"/>
      <c r="B18" s="162" t="s">
        <v>265</v>
      </c>
      <c r="C18" s="160" t="s">
        <v>1051</v>
      </c>
      <c r="D18" s="160" t="s">
        <v>31</v>
      </c>
      <c r="E18" s="163" t="s">
        <v>1052</v>
      </c>
      <c r="F18" s="160" t="s">
        <v>119</v>
      </c>
      <c r="G18" s="164">
        <v>5</v>
      </c>
      <c r="H18" s="165">
        <v>5098.1899999999996</v>
      </c>
      <c r="I18" s="166">
        <v>303.79000000000002</v>
      </c>
      <c r="J18" s="167">
        <f t="shared" si="5"/>
        <v>5401.98</v>
      </c>
      <c r="K18" s="168">
        <f>+H18*G18</f>
        <v>25490.949999999997</v>
      </c>
      <c r="L18" s="169">
        <f>+I18*G18</f>
        <v>1518.95</v>
      </c>
      <c r="M18" s="170">
        <f t="shared" si="2"/>
        <v>27009.9</v>
      </c>
      <c r="N18" s="165">
        <f t="shared" si="3"/>
        <v>6528.7421139999997</v>
      </c>
      <c r="O18" s="166">
        <f t="shared" si="3"/>
        <v>389.03347400000001</v>
      </c>
      <c r="P18" s="167">
        <f>TRUNC(SUM(N18:O18),2)</f>
        <v>6917.77</v>
      </c>
      <c r="Q18" s="168">
        <f>+N18*G18</f>
        <v>32643.710569999999</v>
      </c>
      <c r="R18" s="169">
        <f>+O18*G18</f>
        <v>1945.1673700000001</v>
      </c>
      <c r="S18" s="169">
        <f>TRUNC(SUM(Q18:R18),2)</f>
        <v>34588.870000000003</v>
      </c>
      <c r="T18" s="161">
        <f t="shared" si="4"/>
        <v>2.1880393635511128E-2</v>
      </c>
    </row>
    <row r="19" spans="1:23" ht="24.95" customHeight="1" x14ac:dyDescent="0.25">
      <c r="A19" s="162"/>
      <c r="B19" s="205"/>
      <c r="C19" s="160"/>
      <c r="D19" s="160"/>
      <c r="E19" s="210"/>
      <c r="F19" s="203"/>
      <c r="G19" s="204"/>
      <c r="H19" s="205"/>
      <c r="I19" s="203"/>
      <c r="J19" s="206"/>
      <c r="K19" s="207"/>
      <c r="L19" s="203"/>
      <c r="M19" s="208"/>
      <c r="N19" s="205">
        <f t="shared" ref="N19:O19" si="6">TRUNC(H19*(1+$T$10),2)</f>
        <v>0</v>
      </c>
      <c r="O19" s="203">
        <f t="shared" si="6"/>
        <v>0</v>
      </c>
      <c r="P19" s="206"/>
      <c r="Q19" s="207"/>
      <c r="R19" s="203"/>
      <c r="S19" s="203"/>
      <c r="T19" s="161">
        <f t="shared" si="4"/>
        <v>0</v>
      </c>
    </row>
    <row r="20" spans="1:23" ht="24.95" customHeight="1" x14ac:dyDescent="0.25">
      <c r="A20" s="162"/>
      <c r="B20" s="326" t="s">
        <v>211</v>
      </c>
      <c r="C20" s="327"/>
      <c r="D20" s="327"/>
      <c r="E20" s="328" t="s">
        <v>107</v>
      </c>
      <c r="F20" s="329"/>
      <c r="G20" s="330"/>
      <c r="H20" s="331"/>
      <c r="I20" s="329"/>
      <c r="J20" s="334"/>
      <c r="K20" s="334">
        <f>SUM(K21:K26)</f>
        <v>7063.14</v>
      </c>
      <c r="L20" s="334">
        <f t="shared" ref="L20:M20" si="7">SUM(L21:L26)</f>
        <v>14417.630000000001</v>
      </c>
      <c r="M20" s="334">
        <f t="shared" si="7"/>
        <v>21480.77</v>
      </c>
      <c r="N20" s="334"/>
      <c r="O20" s="334"/>
      <c r="P20" s="334"/>
      <c r="Q20" s="334">
        <f>SUM(Q21:Q26)</f>
        <v>9045.0570839999982</v>
      </c>
      <c r="R20" s="334">
        <f t="shared" ref="R20:S20" si="8">SUM(R21:R26)</f>
        <v>18463.216977999997</v>
      </c>
      <c r="S20" s="334">
        <f t="shared" si="8"/>
        <v>27508.260000000002</v>
      </c>
      <c r="T20" s="333">
        <f t="shared" si="4"/>
        <v>1.7401307328859986E-2</v>
      </c>
    </row>
    <row r="21" spans="1:23" ht="24.95" customHeight="1" x14ac:dyDescent="0.25">
      <c r="A21" s="162"/>
      <c r="B21" s="162" t="s">
        <v>120</v>
      </c>
      <c r="C21" s="160" t="s">
        <v>258</v>
      </c>
      <c r="D21" s="160" t="s">
        <v>124</v>
      </c>
      <c r="E21" s="163" t="s">
        <v>729</v>
      </c>
      <c r="F21" s="160" t="s">
        <v>119</v>
      </c>
      <c r="G21" s="164">
        <v>5</v>
      </c>
      <c r="H21" s="165">
        <v>0</v>
      </c>
      <c r="I21" s="166">
        <v>859.37</v>
      </c>
      <c r="J21" s="167">
        <f>SUM(H21:I21)</f>
        <v>859.37</v>
      </c>
      <c r="K21" s="168">
        <f t="shared" ref="K21:K26" si="9">+H21*G21</f>
        <v>0</v>
      </c>
      <c r="L21" s="169">
        <f t="shared" ref="L21:L26" si="10">+I21*G21</f>
        <v>4296.8500000000004</v>
      </c>
      <c r="M21" s="170">
        <f t="shared" ref="M21:M25" si="11">TRUNC(SUM(K21:L21),2)</f>
        <v>4296.8500000000004</v>
      </c>
      <c r="N21" s="165">
        <f t="shared" ref="N21:O26" si="12">+H21*(1+$T$10)</f>
        <v>0</v>
      </c>
      <c r="O21" s="166">
        <f t="shared" si="12"/>
        <v>1100.5092219999999</v>
      </c>
      <c r="P21" s="167">
        <f t="shared" ref="P21:P26" si="13">TRUNC(SUM(N21:O21),2)</f>
        <v>1100.5</v>
      </c>
      <c r="Q21" s="168">
        <f t="shared" ref="Q21:Q26" si="14">+N21*G21</f>
        <v>0</v>
      </c>
      <c r="R21" s="169">
        <f t="shared" ref="R21:R26" si="15">+O21*G21</f>
        <v>5502.5461099999993</v>
      </c>
      <c r="S21" s="169">
        <f t="shared" ref="S21:S26" si="16">TRUNC(SUM(Q21:R21),2)</f>
        <v>5502.54</v>
      </c>
      <c r="T21" s="161">
        <f t="shared" si="4"/>
        <v>3.4808232010801565E-3</v>
      </c>
    </row>
    <row r="22" spans="1:23" ht="24.95" customHeight="1" x14ac:dyDescent="0.25">
      <c r="A22" s="162"/>
      <c r="B22" s="162" t="s">
        <v>121</v>
      </c>
      <c r="C22" s="160" t="s">
        <v>259</v>
      </c>
      <c r="D22" s="160" t="s">
        <v>124</v>
      </c>
      <c r="E22" s="163" t="s">
        <v>730</v>
      </c>
      <c r="F22" s="160" t="s">
        <v>119</v>
      </c>
      <c r="G22" s="164">
        <v>5</v>
      </c>
      <c r="H22" s="165">
        <v>0</v>
      </c>
      <c r="I22" s="166">
        <v>1100</v>
      </c>
      <c r="J22" s="167">
        <f t="shared" ref="J22:J25" si="17">SUM(H22:I22)</f>
        <v>1100</v>
      </c>
      <c r="K22" s="168">
        <f t="shared" si="9"/>
        <v>0</v>
      </c>
      <c r="L22" s="169">
        <f t="shared" si="10"/>
        <v>5500</v>
      </c>
      <c r="M22" s="170">
        <f t="shared" si="11"/>
        <v>5500</v>
      </c>
      <c r="N22" s="165">
        <f t="shared" si="12"/>
        <v>0</v>
      </c>
      <c r="O22" s="166">
        <f t="shared" si="12"/>
        <v>1408.6599999999999</v>
      </c>
      <c r="P22" s="167">
        <f t="shared" si="13"/>
        <v>1408.66</v>
      </c>
      <c r="Q22" s="168">
        <f t="shared" si="14"/>
        <v>0</v>
      </c>
      <c r="R22" s="169">
        <f t="shared" si="15"/>
        <v>7043.2999999999993</v>
      </c>
      <c r="S22" s="169">
        <f t="shared" si="16"/>
        <v>7043.3</v>
      </c>
      <c r="T22" s="161">
        <f t="shared" si="4"/>
        <v>4.4554845675211568E-3</v>
      </c>
    </row>
    <row r="23" spans="1:23" ht="24.95" customHeight="1" x14ac:dyDescent="0.25">
      <c r="A23" s="162"/>
      <c r="B23" s="162" t="s">
        <v>122</v>
      </c>
      <c r="C23" s="160" t="s">
        <v>123</v>
      </c>
      <c r="D23" s="160" t="s">
        <v>124</v>
      </c>
      <c r="E23" s="163" t="s">
        <v>125</v>
      </c>
      <c r="F23" s="160" t="s">
        <v>126</v>
      </c>
      <c r="G23" s="164">
        <v>120</v>
      </c>
      <c r="H23" s="165">
        <v>0</v>
      </c>
      <c r="I23" s="166">
        <v>10</v>
      </c>
      <c r="J23" s="167">
        <f t="shared" si="17"/>
        <v>10</v>
      </c>
      <c r="K23" s="168">
        <f t="shared" si="9"/>
        <v>0</v>
      </c>
      <c r="L23" s="169">
        <f t="shared" si="10"/>
        <v>1200</v>
      </c>
      <c r="M23" s="170">
        <f t="shared" si="11"/>
        <v>1200</v>
      </c>
      <c r="N23" s="165">
        <f t="shared" si="12"/>
        <v>0</v>
      </c>
      <c r="O23" s="166">
        <f t="shared" si="12"/>
        <v>12.805999999999999</v>
      </c>
      <c r="P23" s="167">
        <f t="shared" si="13"/>
        <v>12.8</v>
      </c>
      <c r="Q23" s="168">
        <f t="shared" si="14"/>
        <v>0</v>
      </c>
      <c r="R23" s="169">
        <f t="shared" si="15"/>
        <v>1536.7199999999998</v>
      </c>
      <c r="S23" s="169">
        <f t="shared" si="16"/>
        <v>1536.72</v>
      </c>
      <c r="T23" s="161">
        <f t="shared" si="4"/>
        <v>9.7210572382279783E-4</v>
      </c>
    </row>
    <row r="24" spans="1:23" ht="24.95" customHeight="1" x14ac:dyDescent="0.25">
      <c r="A24" s="205"/>
      <c r="B24" s="162" t="s">
        <v>248</v>
      </c>
      <c r="C24" s="160" t="s">
        <v>127</v>
      </c>
      <c r="D24" s="160" t="s">
        <v>31</v>
      </c>
      <c r="E24" s="163" t="s">
        <v>108</v>
      </c>
      <c r="F24" s="160" t="s">
        <v>8</v>
      </c>
      <c r="G24" s="164">
        <v>1800</v>
      </c>
      <c r="H24" s="165">
        <v>3.89</v>
      </c>
      <c r="I24" s="166">
        <v>1.53</v>
      </c>
      <c r="J24" s="167">
        <f t="shared" si="17"/>
        <v>5.42</v>
      </c>
      <c r="K24" s="168">
        <f t="shared" si="9"/>
        <v>7002</v>
      </c>
      <c r="L24" s="169">
        <f t="shared" si="10"/>
        <v>2754</v>
      </c>
      <c r="M24" s="170">
        <f t="shared" si="11"/>
        <v>9756</v>
      </c>
      <c r="N24" s="165">
        <f t="shared" si="12"/>
        <v>4.9815339999999999</v>
      </c>
      <c r="O24" s="166">
        <f t="shared" si="12"/>
        <v>1.9593179999999999</v>
      </c>
      <c r="P24" s="167">
        <f t="shared" si="13"/>
        <v>6.94</v>
      </c>
      <c r="Q24" s="168">
        <f t="shared" si="14"/>
        <v>8966.761199999999</v>
      </c>
      <c r="R24" s="169">
        <f t="shared" si="15"/>
        <v>3526.7723999999998</v>
      </c>
      <c r="S24" s="169">
        <f t="shared" si="16"/>
        <v>12493.53</v>
      </c>
      <c r="T24" s="161">
        <f t="shared" si="4"/>
        <v>7.9032172573740428E-3</v>
      </c>
    </row>
    <row r="25" spans="1:23" ht="24.95" customHeight="1" x14ac:dyDescent="0.25">
      <c r="A25" s="326"/>
      <c r="B25" s="162" t="s">
        <v>249</v>
      </c>
      <c r="C25" s="160" t="s">
        <v>731</v>
      </c>
      <c r="D25" s="160" t="s">
        <v>124</v>
      </c>
      <c r="E25" s="163" t="s">
        <v>726</v>
      </c>
      <c r="F25" s="160" t="s">
        <v>2</v>
      </c>
      <c r="G25" s="164">
        <v>1.5</v>
      </c>
      <c r="H25" s="165">
        <v>40.76</v>
      </c>
      <c r="I25" s="166">
        <v>288.89999999999998</v>
      </c>
      <c r="J25" s="167">
        <f t="shared" si="17"/>
        <v>329.65999999999997</v>
      </c>
      <c r="K25" s="168">
        <f t="shared" si="9"/>
        <v>61.14</v>
      </c>
      <c r="L25" s="169">
        <f t="shared" si="10"/>
        <v>433.34999999999997</v>
      </c>
      <c r="M25" s="170">
        <f t="shared" si="11"/>
        <v>494.49</v>
      </c>
      <c r="N25" s="165">
        <f t="shared" si="12"/>
        <v>52.197255999999996</v>
      </c>
      <c r="O25" s="166">
        <f t="shared" si="12"/>
        <v>369.96533999999997</v>
      </c>
      <c r="P25" s="167">
        <f t="shared" si="13"/>
        <v>422.16</v>
      </c>
      <c r="Q25" s="168">
        <f t="shared" si="14"/>
        <v>78.295884000000001</v>
      </c>
      <c r="R25" s="169">
        <f t="shared" si="15"/>
        <v>554.94800999999995</v>
      </c>
      <c r="S25" s="169">
        <f t="shared" si="16"/>
        <v>633.24</v>
      </c>
      <c r="T25" s="161">
        <f t="shared" si="4"/>
        <v>4.0057800285904298E-4</v>
      </c>
    </row>
    <row r="26" spans="1:23" ht="24.95" customHeight="1" x14ac:dyDescent="0.25">
      <c r="A26" s="162"/>
      <c r="B26" s="205" t="s">
        <v>1318</v>
      </c>
      <c r="C26" s="160" t="s">
        <v>1272</v>
      </c>
      <c r="D26" s="160" t="s">
        <v>124</v>
      </c>
      <c r="E26" s="210" t="s">
        <v>1273</v>
      </c>
      <c r="F26" s="203" t="s">
        <v>22</v>
      </c>
      <c r="G26" s="204">
        <v>1</v>
      </c>
      <c r="H26" s="205">
        <v>0</v>
      </c>
      <c r="I26" s="203">
        <v>233.43</v>
      </c>
      <c r="J26" s="167">
        <f t="shared" ref="J26" si="18">SUM(H26:I26)</f>
        <v>233.43</v>
      </c>
      <c r="K26" s="168">
        <f t="shared" si="9"/>
        <v>0</v>
      </c>
      <c r="L26" s="169">
        <f t="shared" si="10"/>
        <v>233.43</v>
      </c>
      <c r="M26" s="170">
        <f t="shared" ref="M26" si="19">TRUNC(SUM(K26:L26),2)</f>
        <v>233.43</v>
      </c>
      <c r="N26" s="165">
        <f t="shared" si="12"/>
        <v>0</v>
      </c>
      <c r="O26" s="166">
        <f t="shared" si="12"/>
        <v>298.93045799999999</v>
      </c>
      <c r="P26" s="167">
        <f t="shared" si="13"/>
        <v>298.93</v>
      </c>
      <c r="Q26" s="168">
        <f t="shared" si="14"/>
        <v>0</v>
      </c>
      <c r="R26" s="169">
        <f t="shared" si="15"/>
        <v>298.93045799999999</v>
      </c>
      <c r="S26" s="169">
        <f t="shared" si="16"/>
        <v>298.93</v>
      </c>
      <c r="T26" s="161">
        <f t="shared" si="4"/>
        <v>1.8909857620278837E-4</v>
      </c>
    </row>
    <row r="27" spans="1:23" ht="24.95" customHeight="1" x14ac:dyDescent="0.25">
      <c r="A27" s="162"/>
      <c r="B27" s="205"/>
      <c r="C27" s="160"/>
      <c r="D27" s="160"/>
      <c r="E27" s="210"/>
      <c r="F27" s="203"/>
      <c r="G27" s="204"/>
      <c r="H27" s="205"/>
      <c r="I27" s="203"/>
      <c r="J27" s="206"/>
      <c r="K27" s="207"/>
      <c r="L27" s="207"/>
      <c r="M27" s="413"/>
      <c r="N27" s="205"/>
      <c r="O27" s="203"/>
      <c r="P27" s="206"/>
      <c r="Q27" s="207"/>
      <c r="R27" s="207"/>
      <c r="S27" s="207"/>
      <c r="T27" s="161">
        <f t="shared" si="4"/>
        <v>0</v>
      </c>
    </row>
    <row r="28" spans="1:23" ht="24.95" customHeight="1" x14ac:dyDescent="0.25">
      <c r="A28" s="205"/>
      <c r="B28" s="326">
        <v>3</v>
      </c>
      <c r="C28" s="327"/>
      <c r="D28" s="327"/>
      <c r="E28" s="328" t="s">
        <v>106</v>
      </c>
      <c r="F28" s="329"/>
      <c r="G28" s="330"/>
      <c r="H28" s="331"/>
      <c r="I28" s="329"/>
      <c r="J28" s="332"/>
      <c r="K28" s="337">
        <f>SUM(K29:K36)</f>
        <v>43100.746800000008</v>
      </c>
      <c r="L28" s="337">
        <f>SUM(L29:L36)</f>
        <v>28596.414250000002</v>
      </c>
      <c r="M28" s="337">
        <f>SUM(M29:M36)</f>
        <v>71697.149999999994</v>
      </c>
      <c r="N28" s="338">
        <f t="shared" ref="N28:O62" si="20">+H28*(1+$T$10)</f>
        <v>0</v>
      </c>
      <c r="O28" s="339">
        <f t="shared" si="20"/>
        <v>0</v>
      </c>
      <c r="P28" s="340"/>
      <c r="Q28" s="337">
        <f>SUM(Q29:Q36)</f>
        <v>55194.816352080001</v>
      </c>
      <c r="R28" s="337">
        <f>SUM(R29:R36)</f>
        <v>36620.568088550004</v>
      </c>
      <c r="S28" s="337">
        <f>SUM(S29:S36)</f>
        <v>91815.35</v>
      </c>
      <c r="T28" s="333">
        <f t="shared" si="4"/>
        <v>5.8080995412172369E-2</v>
      </c>
    </row>
    <row r="29" spans="1:23" ht="24.95" customHeight="1" x14ac:dyDescent="0.25">
      <c r="A29" s="326"/>
      <c r="B29" s="162" t="s">
        <v>128</v>
      </c>
      <c r="C29" s="160" t="s">
        <v>732</v>
      </c>
      <c r="D29" s="171" t="s">
        <v>212</v>
      </c>
      <c r="E29" s="163" t="s">
        <v>719</v>
      </c>
      <c r="F29" s="160" t="s">
        <v>2</v>
      </c>
      <c r="G29" s="164">
        <v>2129.4650000000001</v>
      </c>
      <c r="H29" s="165">
        <v>8.1999999999999993</v>
      </c>
      <c r="I29" s="166">
        <v>3.45</v>
      </c>
      <c r="J29" s="167">
        <f t="shared" ref="J29" si="21">TRUNC(SUM(H29:I29),2)</f>
        <v>11.65</v>
      </c>
      <c r="K29" s="168">
        <f t="shared" ref="K29:K36" si="22">+H29*G29</f>
        <v>17461.613000000001</v>
      </c>
      <c r="L29" s="169">
        <f t="shared" ref="L29:L36" si="23">+I29*G29</f>
        <v>7346.6542500000005</v>
      </c>
      <c r="M29" s="170">
        <f t="shared" ref="M29:M36" si="24">TRUNC(SUM(K29:L29),2)</f>
        <v>24808.26</v>
      </c>
      <c r="N29" s="165">
        <f t="shared" si="20"/>
        <v>10.500919999999999</v>
      </c>
      <c r="O29" s="166">
        <f t="shared" si="20"/>
        <v>4.4180700000000002</v>
      </c>
      <c r="P29" s="167">
        <f t="shared" ref="P29:P30" si="25">TRUNC(SUM(N29:O29),2)</f>
        <v>14.91</v>
      </c>
      <c r="Q29" s="168">
        <f t="shared" ref="Q29:Q36" si="26">+N29*G29</f>
        <v>22361.341607800001</v>
      </c>
      <c r="R29" s="169">
        <f t="shared" ref="R29:R36" si="27">+O29*G29</f>
        <v>9408.1254325500013</v>
      </c>
      <c r="S29" s="169">
        <f t="shared" ref="S29:S36" si="28">TRUNC(SUM(Q29:R29),2)</f>
        <v>31769.46</v>
      </c>
      <c r="T29" s="161">
        <f t="shared" si="4"/>
        <v>2.0096877706257107E-2</v>
      </c>
    </row>
    <row r="30" spans="1:23" ht="24.95" customHeight="1" x14ac:dyDescent="0.25">
      <c r="A30" s="162"/>
      <c r="B30" s="162" t="s">
        <v>129</v>
      </c>
      <c r="C30" s="160" t="s">
        <v>398</v>
      </c>
      <c r="D30" s="171" t="s">
        <v>212</v>
      </c>
      <c r="E30" s="163" t="s">
        <v>399</v>
      </c>
      <c r="F30" s="160" t="s">
        <v>22</v>
      </c>
      <c r="G30" s="164">
        <v>25</v>
      </c>
      <c r="H30" s="165">
        <v>0</v>
      </c>
      <c r="I30" s="166">
        <v>350</v>
      </c>
      <c r="J30" s="167">
        <f>TRUNC(SUM(H30:I30),2)</f>
        <v>350</v>
      </c>
      <c r="K30" s="168">
        <f t="shared" si="22"/>
        <v>0</v>
      </c>
      <c r="L30" s="169">
        <f t="shared" si="23"/>
        <v>8750</v>
      </c>
      <c r="M30" s="170">
        <f t="shared" si="24"/>
        <v>8750</v>
      </c>
      <c r="N30" s="165">
        <f t="shared" si="20"/>
        <v>0</v>
      </c>
      <c r="O30" s="166">
        <f t="shared" si="20"/>
        <v>448.21</v>
      </c>
      <c r="P30" s="167">
        <f t="shared" si="25"/>
        <v>448.21</v>
      </c>
      <c r="Q30" s="168">
        <f t="shared" si="26"/>
        <v>0</v>
      </c>
      <c r="R30" s="169">
        <f t="shared" si="27"/>
        <v>11205.25</v>
      </c>
      <c r="S30" s="169">
        <f t="shared" si="28"/>
        <v>11205.25</v>
      </c>
      <c r="T30" s="161">
        <f t="shared" si="4"/>
        <v>7.0882709028745675E-3</v>
      </c>
    </row>
    <row r="31" spans="1:23" ht="24.95" customHeight="1" x14ac:dyDescent="0.25">
      <c r="A31" s="205"/>
      <c r="B31" s="162" t="s">
        <v>1319</v>
      </c>
      <c r="C31" s="160" t="s">
        <v>1320</v>
      </c>
      <c r="D31" s="171" t="s">
        <v>31</v>
      </c>
      <c r="E31" s="163" t="s">
        <v>1321</v>
      </c>
      <c r="F31" s="160" t="s">
        <v>22</v>
      </c>
      <c r="G31" s="164">
        <f>SUM(G111:G112)</f>
        <v>285</v>
      </c>
      <c r="H31" s="165">
        <v>0.72</v>
      </c>
      <c r="I31" s="166">
        <v>0.31</v>
      </c>
      <c r="J31" s="167">
        <f t="shared" ref="J31:J36" si="29">TRUNC(SUM(H31:I31),2)</f>
        <v>1.03</v>
      </c>
      <c r="K31" s="168">
        <f t="shared" si="22"/>
        <v>205.2</v>
      </c>
      <c r="L31" s="169">
        <f t="shared" si="23"/>
        <v>88.35</v>
      </c>
      <c r="M31" s="170">
        <f t="shared" si="24"/>
        <v>293.55</v>
      </c>
      <c r="N31" s="165">
        <f t="shared" si="20"/>
        <v>0.92203199999999996</v>
      </c>
      <c r="O31" s="166">
        <f t="shared" si="20"/>
        <v>0.39698600000000001</v>
      </c>
      <c r="P31" s="167">
        <f t="shared" ref="P31:P36" si="30">TRUNC(SUM(N31:O31),2)</f>
        <v>1.31</v>
      </c>
      <c r="Q31" s="168">
        <f t="shared" si="26"/>
        <v>262.77911999999998</v>
      </c>
      <c r="R31" s="169">
        <f t="shared" si="27"/>
        <v>113.14101000000001</v>
      </c>
      <c r="S31" s="169">
        <f t="shared" si="28"/>
        <v>375.92</v>
      </c>
      <c r="T31" s="161">
        <f t="shared" si="4"/>
        <v>2.3780128045412709E-4</v>
      </c>
    </row>
    <row r="32" spans="1:23" ht="24.95" customHeight="1" x14ac:dyDescent="0.25">
      <c r="A32" s="326"/>
      <c r="B32" s="162" t="s">
        <v>1322</v>
      </c>
      <c r="C32" s="160" t="s">
        <v>1323</v>
      </c>
      <c r="D32" s="171" t="s">
        <v>264</v>
      </c>
      <c r="E32" s="163" t="s">
        <v>1324</v>
      </c>
      <c r="F32" s="160" t="s">
        <v>22</v>
      </c>
      <c r="G32" s="164">
        <f>G31</f>
        <v>285</v>
      </c>
      <c r="H32" s="165">
        <v>3.34</v>
      </c>
      <c r="I32" s="166">
        <v>0</v>
      </c>
      <c r="J32" s="167">
        <f t="shared" si="29"/>
        <v>3.34</v>
      </c>
      <c r="K32" s="168">
        <f t="shared" si="22"/>
        <v>951.9</v>
      </c>
      <c r="L32" s="169">
        <f t="shared" si="23"/>
        <v>0</v>
      </c>
      <c r="M32" s="170">
        <f t="shared" si="24"/>
        <v>951.9</v>
      </c>
      <c r="N32" s="165">
        <f t="shared" si="20"/>
        <v>4.2772039999999993</v>
      </c>
      <c r="O32" s="166">
        <f t="shared" si="20"/>
        <v>0</v>
      </c>
      <c r="P32" s="167">
        <f t="shared" si="30"/>
        <v>4.2699999999999996</v>
      </c>
      <c r="Q32" s="168">
        <f t="shared" si="26"/>
        <v>1219.0031399999998</v>
      </c>
      <c r="R32" s="169">
        <f t="shared" si="27"/>
        <v>0</v>
      </c>
      <c r="S32" s="169">
        <f t="shared" si="28"/>
        <v>1219</v>
      </c>
      <c r="T32" s="161">
        <f t="shared" si="4"/>
        <v>7.7112087910614197E-4</v>
      </c>
    </row>
    <row r="33" spans="1:20" ht="24.95" customHeight="1" x14ac:dyDescent="0.25">
      <c r="A33" s="341"/>
      <c r="B33" s="162" t="s">
        <v>1325</v>
      </c>
      <c r="C33" s="160" t="s">
        <v>1326</v>
      </c>
      <c r="D33" s="171" t="s">
        <v>31</v>
      </c>
      <c r="E33" s="163" t="s">
        <v>1327</v>
      </c>
      <c r="F33" s="160" t="s">
        <v>22</v>
      </c>
      <c r="G33" s="164">
        <f>SUM(G63:G68)</f>
        <v>481</v>
      </c>
      <c r="H33" s="165">
        <v>0.38</v>
      </c>
      <c r="I33" s="166">
        <v>0.15</v>
      </c>
      <c r="J33" s="167">
        <f t="shared" si="29"/>
        <v>0.53</v>
      </c>
      <c r="K33" s="168">
        <f t="shared" si="22"/>
        <v>182.78</v>
      </c>
      <c r="L33" s="169">
        <f t="shared" si="23"/>
        <v>72.149999999999991</v>
      </c>
      <c r="M33" s="170">
        <f t="shared" si="24"/>
        <v>254.93</v>
      </c>
      <c r="N33" s="165">
        <f t="shared" si="20"/>
        <v>0.486628</v>
      </c>
      <c r="O33" s="166">
        <f t="shared" si="20"/>
        <v>0.19208999999999998</v>
      </c>
      <c r="P33" s="167">
        <f t="shared" si="30"/>
        <v>0.67</v>
      </c>
      <c r="Q33" s="168">
        <f t="shared" si="26"/>
        <v>234.06806800000001</v>
      </c>
      <c r="R33" s="169">
        <f t="shared" si="27"/>
        <v>92.395289999999989</v>
      </c>
      <c r="S33" s="169">
        <f t="shared" si="28"/>
        <v>326.45999999999998</v>
      </c>
      <c r="T33" s="161">
        <f t="shared" si="4"/>
        <v>2.0651363592534135E-4</v>
      </c>
    </row>
    <row r="34" spans="1:20" ht="24.95" customHeight="1" x14ac:dyDescent="0.25">
      <c r="A34" s="162"/>
      <c r="B34" s="425" t="s">
        <v>1328</v>
      </c>
      <c r="C34" s="160" t="s">
        <v>1354</v>
      </c>
      <c r="D34" s="171" t="s">
        <v>124</v>
      </c>
      <c r="E34" s="163" t="s">
        <v>1355</v>
      </c>
      <c r="F34" s="160" t="s">
        <v>35</v>
      </c>
      <c r="G34" s="164">
        <f>SUM(G53:G57)</f>
        <v>15896.7</v>
      </c>
      <c r="H34" s="165">
        <v>0.38</v>
      </c>
      <c r="I34" s="166">
        <v>0.15</v>
      </c>
      <c r="J34" s="167">
        <f t="shared" si="29"/>
        <v>0.53</v>
      </c>
      <c r="K34" s="168">
        <f t="shared" si="22"/>
        <v>6040.7460000000001</v>
      </c>
      <c r="L34" s="169">
        <f t="shared" si="23"/>
        <v>2384.5050000000001</v>
      </c>
      <c r="M34" s="170">
        <f t="shared" si="24"/>
        <v>8425.25</v>
      </c>
      <c r="N34" s="165">
        <f t="shared" si="20"/>
        <v>0.486628</v>
      </c>
      <c r="O34" s="166">
        <f t="shared" si="20"/>
        <v>0.19208999999999998</v>
      </c>
      <c r="P34" s="167">
        <f t="shared" si="30"/>
        <v>0.67</v>
      </c>
      <c r="Q34" s="168">
        <f t="shared" si="26"/>
        <v>7735.7793276000002</v>
      </c>
      <c r="R34" s="169">
        <f t="shared" si="27"/>
        <v>3053.5971030000001</v>
      </c>
      <c r="S34" s="169">
        <f t="shared" si="28"/>
        <v>10789.37</v>
      </c>
      <c r="T34" s="161">
        <f t="shared" si="4"/>
        <v>6.8251915335532697E-3</v>
      </c>
    </row>
    <row r="35" spans="1:20" ht="24.95" customHeight="1" x14ac:dyDescent="0.25">
      <c r="A35" s="162"/>
      <c r="B35" s="162" t="s">
        <v>1329</v>
      </c>
      <c r="C35" s="160" t="s">
        <v>1330</v>
      </c>
      <c r="D35" s="171" t="s">
        <v>175</v>
      </c>
      <c r="E35" s="163" t="s">
        <v>1331</v>
      </c>
      <c r="F35" s="160" t="s">
        <v>225</v>
      </c>
      <c r="G35" s="164">
        <f>G116+G117</f>
        <v>8</v>
      </c>
      <c r="H35" s="165">
        <v>28.06</v>
      </c>
      <c r="I35" s="166">
        <v>7.15</v>
      </c>
      <c r="J35" s="167">
        <f t="shared" si="29"/>
        <v>35.21</v>
      </c>
      <c r="K35" s="168">
        <f t="shared" si="22"/>
        <v>224.48</v>
      </c>
      <c r="L35" s="169">
        <f t="shared" si="23"/>
        <v>57.2</v>
      </c>
      <c r="M35" s="170">
        <f t="shared" si="24"/>
        <v>281.68</v>
      </c>
      <c r="N35" s="165">
        <f t="shared" si="20"/>
        <v>35.933636</v>
      </c>
      <c r="O35" s="166">
        <f t="shared" si="20"/>
        <v>9.1562900000000003</v>
      </c>
      <c r="P35" s="167">
        <f t="shared" si="30"/>
        <v>45.08</v>
      </c>
      <c r="Q35" s="168">
        <f t="shared" si="26"/>
        <v>287.469088</v>
      </c>
      <c r="R35" s="169">
        <f t="shared" si="27"/>
        <v>73.250320000000002</v>
      </c>
      <c r="S35" s="169">
        <f t="shared" si="28"/>
        <v>360.71</v>
      </c>
      <c r="T35" s="161">
        <f t="shared" si="4"/>
        <v>2.2817966554747863E-4</v>
      </c>
    </row>
    <row r="36" spans="1:20" ht="24.95" customHeight="1" x14ac:dyDescent="0.25">
      <c r="A36" s="162"/>
      <c r="B36" s="162" t="s">
        <v>1332</v>
      </c>
      <c r="C36" s="160" t="s">
        <v>1356</v>
      </c>
      <c r="D36" s="171" t="s">
        <v>31</v>
      </c>
      <c r="E36" s="163" t="s">
        <v>1357</v>
      </c>
      <c r="F36" s="160" t="s">
        <v>35</v>
      </c>
      <c r="G36" s="164">
        <f>SUM(G104:G107)*60%</f>
        <v>1365.18</v>
      </c>
      <c r="H36" s="165">
        <v>13.21</v>
      </c>
      <c r="I36" s="166">
        <v>7.25</v>
      </c>
      <c r="J36" s="167">
        <f t="shared" si="29"/>
        <v>20.46</v>
      </c>
      <c r="K36" s="168">
        <f t="shared" si="22"/>
        <v>18034.027800000003</v>
      </c>
      <c r="L36" s="169">
        <f t="shared" si="23"/>
        <v>9897.5550000000003</v>
      </c>
      <c r="M36" s="170">
        <f t="shared" si="24"/>
        <v>27931.58</v>
      </c>
      <c r="N36" s="165">
        <f t="shared" si="20"/>
        <v>16.916726000000001</v>
      </c>
      <c r="O36" s="166">
        <f t="shared" si="20"/>
        <v>9.2843499999999999</v>
      </c>
      <c r="P36" s="167">
        <f t="shared" si="30"/>
        <v>26.2</v>
      </c>
      <c r="Q36" s="168">
        <f t="shared" si="26"/>
        <v>23094.37600068</v>
      </c>
      <c r="R36" s="169">
        <f t="shared" si="27"/>
        <v>12674.808933</v>
      </c>
      <c r="S36" s="169">
        <f t="shared" si="28"/>
        <v>35769.18</v>
      </c>
      <c r="T36" s="161">
        <f t="shared" si="4"/>
        <v>2.2627039808454333E-2</v>
      </c>
    </row>
    <row r="37" spans="1:20" ht="24.95" customHeight="1" x14ac:dyDescent="0.25">
      <c r="A37" s="162"/>
      <c r="B37" s="162"/>
      <c r="C37" s="160"/>
      <c r="D37" s="171"/>
      <c r="E37" s="163"/>
      <c r="F37" s="160"/>
      <c r="G37" s="164"/>
      <c r="H37" s="165"/>
      <c r="I37" s="166"/>
      <c r="J37" s="167"/>
      <c r="K37" s="168"/>
      <c r="L37" s="169"/>
      <c r="M37" s="170"/>
      <c r="N37" s="165"/>
      <c r="O37" s="166"/>
      <c r="P37" s="167"/>
      <c r="Q37" s="168"/>
      <c r="R37" s="169"/>
      <c r="S37" s="169"/>
      <c r="T37" s="161">
        <f t="shared" si="4"/>
        <v>0</v>
      </c>
    </row>
    <row r="38" spans="1:20" ht="24.95" customHeight="1" x14ac:dyDescent="0.25">
      <c r="A38" s="162"/>
      <c r="B38" s="326" t="s">
        <v>252</v>
      </c>
      <c r="C38" s="327"/>
      <c r="D38" s="327"/>
      <c r="E38" s="328" t="s">
        <v>224</v>
      </c>
      <c r="F38" s="329"/>
      <c r="G38" s="330"/>
      <c r="H38" s="331"/>
      <c r="I38" s="329"/>
      <c r="J38" s="332"/>
      <c r="K38" s="337">
        <f>SUM(K39)</f>
        <v>13070.666400000002</v>
      </c>
      <c r="L38" s="337">
        <f t="shared" ref="L38:M38" si="31">SUM(L39)</f>
        <v>18245.270400000001</v>
      </c>
      <c r="M38" s="337">
        <f t="shared" si="31"/>
        <v>31315.93</v>
      </c>
      <c r="N38" s="331">
        <f t="shared" si="20"/>
        <v>0</v>
      </c>
      <c r="O38" s="329">
        <f t="shared" si="20"/>
        <v>0</v>
      </c>
      <c r="P38" s="332"/>
      <c r="Q38" s="337">
        <f>SUM(Q39)</f>
        <v>16738.295391840002</v>
      </c>
      <c r="R38" s="337">
        <f t="shared" ref="R38:S38" si="32">SUM(R39)</f>
        <v>23364.893274239999</v>
      </c>
      <c r="S38" s="337">
        <f t="shared" si="32"/>
        <v>40103.18</v>
      </c>
      <c r="T38" s="333">
        <f t="shared" si="4"/>
        <v>2.5368662359763618E-2</v>
      </c>
    </row>
    <row r="39" spans="1:20" ht="39.950000000000003" customHeight="1" x14ac:dyDescent="0.25">
      <c r="A39" s="162"/>
      <c r="B39" s="162" t="s">
        <v>130</v>
      </c>
      <c r="C39" s="160" t="s">
        <v>733</v>
      </c>
      <c r="D39" s="171" t="s">
        <v>124</v>
      </c>
      <c r="E39" s="163" t="s">
        <v>569</v>
      </c>
      <c r="F39" s="160" t="s">
        <v>2</v>
      </c>
      <c r="G39" s="164">
        <v>1277.68</v>
      </c>
      <c r="H39" s="165">
        <v>10.23</v>
      </c>
      <c r="I39" s="166">
        <v>14.28</v>
      </c>
      <c r="J39" s="167">
        <f>TRUNC(SUM(H39:I39),2)</f>
        <v>24.51</v>
      </c>
      <c r="K39" s="168">
        <f>+H39*G39</f>
        <v>13070.666400000002</v>
      </c>
      <c r="L39" s="169">
        <f>+I39*G39</f>
        <v>18245.270400000001</v>
      </c>
      <c r="M39" s="170">
        <f t="shared" ref="M39" si="33">TRUNC(SUM(K39:L39),2)</f>
        <v>31315.93</v>
      </c>
      <c r="N39" s="165">
        <f t="shared" si="20"/>
        <v>13.100538</v>
      </c>
      <c r="O39" s="166">
        <f t="shared" si="20"/>
        <v>18.286967999999998</v>
      </c>
      <c r="P39" s="167">
        <f>TRUNC(SUM(N39:O39),2)</f>
        <v>31.38</v>
      </c>
      <c r="Q39" s="168">
        <f>+N39*G39</f>
        <v>16738.295391840002</v>
      </c>
      <c r="R39" s="169">
        <f>+O39*G39</f>
        <v>23364.893274239999</v>
      </c>
      <c r="S39" s="169">
        <f>TRUNC(SUM(Q39:R39),2)</f>
        <v>40103.18</v>
      </c>
      <c r="T39" s="161">
        <f t="shared" si="4"/>
        <v>2.5368662359763618E-2</v>
      </c>
    </row>
    <row r="40" spans="1:20" ht="39.950000000000003" customHeight="1" x14ac:dyDescent="0.25">
      <c r="A40" s="162"/>
      <c r="B40" s="205"/>
      <c r="C40" s="160"/>
      <c r="D40" s="160"/>
      <c r="E40" s="210"/>
      <c r="F40" s="203"/>
      <c r="G40" s="204"/>
      <c r="H40" s="205"/>
      <c r="I40" s="203"/>
      <c r="J40" s="206"/>
      <c r="K40" s="207"/>
      <c r="L40" s="203"/>
      <c r="M40" s="208"/>
      <c r="N40" s="205">
        <f t="shared" si="20"/>
        <v>0</v>
      </c>
      <c r="O40" s="203">
        <f t="shared" si="20"/>
        <v>0</v>
      </c>
      <c r="P40" s="206"/>
      <c r="Q40" s="207"/>
      <c r="R40" s="203"/>
      <c r="S40" s="203"/>
      <c r="T40" s="161">
        <f t="shared" si="4"/>
        <v>0</v>
      </c>
    </row>
    <row r="41" spans="1:20" ht="39.950000000000003" customHeight="1" x14ac:dyDescent="0.25">
      <c r="A41" s="341"/>
      <c r="B41" s="326" t="s">
        <v>253</v>
      </c>
      <c r="C41" s="327"/>
      <c r="D41" s="327"/>
      <c r="E41" s="328" t="s">
        <v>207</v>
      </c>
      <c r="F41" s="329"/>
      <c r="G41" s="330"/>
      <c r="H41" s="331"/>
      <c r="I41" s="329"/>
      <c r="J41" s="332"/>
      <c r="K41" s="337">
        <f>K42+K52</f>
        <v>30272.968000000001</v>
      </c>
      <c r="L41" s="337">
        <f>L42+L52</f>
        <v>83307.060000000012</v>
      </c>
      <c r="M41" s="337">
        <f>M42+M52</f>
        <v>113580.01000000001</v>
      </c>
      <c r="N41" s="331">
        <f t="shared" si="20"/>
        <v>0</v>
      </c>
      <c r="O41" s="329">
        <f t="shared" si="20"/>
        <v>0</v>
      </c>
      <c r="P41" s="332"/>
      <c r="Q41" s="337">
        <f>Q42+Q52</f>
        <v>38767.562820799998</v>
      </c>
      <c r="R41" s="337">
        <f>R42+R52</f>
        <v>106683.02103600001</v>
      </c>
      <c r="S41" s="337">
        <f>S42+S52</f>
        <v>145450.51999999999</v>
      </c>
      <c r="T41" s="333">
        <f t="shared" si="4"/>
        <v>9.200978904745323E-2</v>
      </c>
    </row>
    <row r="42" spans="1:20" ht="24.95" customHeight="1" x14ac:dyDescent="0.25">
      <c r="A42" s="162"/>
      <c r="B42" s="341" t="s">
        <v>254</v>
      </c>
      <c r="C42" s="342"/>
      <c r="D42" s="342"/>
      <c r="E42" s="343" t="s">
        <v>840</v>
      </c>
      <c r="F42" s="344"/>
      <c r="G42" s="345"/>
      <c r="H42" s="346"/>
      <c r="I42" s="344"/>
      <c r="J42" s="347"/>
      <c r="K42" s="348">
        <f>SUM(K43:K51)</f>
        <v>7998.25</v>
      </c>
      <c r="L42" s="348">
        <f>SUM(L43:L51)</f>
        <v>4897.46</v>
      </c>
      <c r="M42" s="348">
        <f>SUM(M43:M51)</f>
        <v>12895.71</v>
      </c>
      <c r="N42" s="346">
        <f t="shared" si="20"/>
        <v>0</v>
      </c>
      <c r="O42" s="344">
        <f t="shared" si="20"/>
        <v>0</v>
      </c>
      <c r="P42" s="347"/>
      <c r="Q42" s="348">
        <f>SUM(Q43:Q51)</f>
        <v>10242.558950000001</v>
      </c>
      <c r="R42" s="348">
        <f>SUM(R43:R51)</f>
        <v>6271.6872760000006</v>
      </c>
      <c r="S42" s="348">
        <f>SUM(S43:S51)</f>
        <v>16514.21</v>
      </c>
      <c r="T42" s="349">
        <f t="shared" si="4"/>
        <v>1.044663833711521E-2</v>
      </c>
    </row>
    <row r="43" spans="1:20" ht="24.95" customHeight="1" x14ac:dyDescent="0.25">
      <c r="A43" s="162"/>
      <c r="B43" s="162" t="s">
        <v>131</v>
      </c>
      <c r="C43" s="160" t="s">
        <v>841</v>
      </c>
      <c r="D43" s="171" t="s">
        <v>842</v>
      </c>
      <c r="E43" s="163" t="s">
        <v>843</v>
      </c>
      <c r="F43" s="160" t="s">
        <v>22</v>
      </c>
      <c r="G43" s="164">
        <v>22</v>
      </c>
      <c r="H43" s="165">
        <v>4.88</v>
      </c>
      <c r="I43" s="166">
        <v>5.29</v>
      </c>
      <c r="J43" s="167">
        <f t="shared" ref="J43:J102" si="34">TRUNC(SUM(H43:I43),2)</f>
        <v>10.17</v>
      </c>
      <c r="K43" s="168">
        <f>+H43*G43</f>
        <v>107.36</v>
      </c>
      <c r="L43" s="169">
        <f>+I43*G43</f>
        <v>116.38</v>
      </c>
      <c r="M43" s="170">
        <f t="shared" ref="M43:M51" si="35">TRUNC(SUM(K43:L43),2)</f>
        <v>223.74</v>
      </c>
      <c r="N43" s="165">
        <f t="shared" si="20"/>
        <v>6.2493279999999993</v>
      </c>
      <c r="O43" s="166">
        <f t="shared" si="20"/>
        <v>6.7743739999999999</v>
      </c>
      <c r="P43" s="167">
        <f t="shared" ref="P43:P81" si="36">TRUNC(SUM(N43:O43),2)</f>
        <v>13.02</v>
      </c>
      <c r="Q43" s="168">
        <f t="shared" ref="Q43:Q102" si="37">+N43*G43</f>
        <v>137.48521599999998</v>
      </c>
      <c r="R43" s="169">
        <f t="shared" ref="R43:R102" si="38">+O43*G43</f>
        <v>149.03622799999999</v>
      </c>
      <c r="S43" s="169">
        <f t="shared" ref="S43:S102" si="39">TRUNC(SUM(Q43:R43),2)</f>
        <v>286.52</v>
      </c>
      <c r="T43" s="161">
        <f t="shared" si="4"/>
        <v>1.8124819875430008E-4</v>
      </c>
    </row>
    <row r="44" spans="1:20" ht="24.95" customHeight="1" x14ac:dyDescent="0.25">
      <c r="A44" s="162"/>
      <c r="B44" s="162" t="s">
        <v>1213</v>
      </c>
      <c r="C44" s="160" t="s">
        <v>746</v>
      </c>
      <c r="D44" s="171" t="s">
        <v>124</v>
      </c>
      <c r="E44" s="163" t="s">
        <v>440</v>
      </c>
      <c r="F44" s="160" t="s">
        <v>22</v>
      </c>
      <c r="G44" s="164">
        <v>3</v>
      </c>
      <c r="H44" s="165">
        <v>7.7</v>
      </c>
      <c r="I44" s="166">
        <v>4.92</v>
      </c>
      <c r="J44" s="167">
        <f t="shared" si="34"/>
        <v>12.62</v>
      </c>
      <c r="K44" s="168">
        <f t="shared" ref="K44:K49" si="40">+H44*G44</f>
        <v>23.1</v>
      </c>
      <c r="L44" s="169">
        <f t="shared" ref="L44:L49" si="41">+I44*G44</f>
        <v>14.76</v>
      </c>
      <c r="M44" s="170">
        <f t="shared" si="35"/>
        <v>37.86</v>
      </c>
      <c r="N44" s="165">
        <f t="shared" si="20"/>
        <v>9.8606199999999991</v>
      </c>
      <c r="O44" s="166">
        <f t="shared" si="20"/>
        <v>6.3005519999999997</v>
      </c>
      <c r="P44" s="167">
        <f t="shared" si="36"/>
        <v>16.16</v>
      </c>
      <c r="Q44" s="168">
        <f t="shared" si="37"/>
        <v>29.581859999999999</v>
      </c>
      <c r="R44" s="169">
        <f t="shared" si="38"/>
        <v>18.901655999999999</v>
      </c>
      <c r="S44" s="169">
        <f t="shared" si="39"/>
        <v>48.48</v>
      </c>
      <c r="T44" s="161">
        <f t="shared" si="4"/>
        <v>3.0667711418429663E-5</v>
      </c>
    </row>
    <row r="45" spans="1:20" ht="24.95" customHeight="1" x14ac:dyDescent="0.25">
      <c r="A45" s="162"/>
      <c r="B45" s="162" t="s">
        <v>1214</v>
      </c>
      <c r="C45" s="160" t="s">
        <v>1210</v>
      </c>
      <c r="D45" s="171" t="s">
        <v>842</v>
      </c>
      <c r="E45" s="163" t="s">
        <v>1211</v>
      </c>
      <c r="F45" s="160" t="s">
        <v>22</v>
      </c>
      <c r="G45" s="164">
        <v>6</v>
      </c>
      <c r="H45" s="165">
        <v>3.76</v>
      </c>
      <c r="I45" s="166">
        <v>5.03</v>
      </c>
      <c r="J45" s="167">
        <f t="shared" si="34"/>
        <v>8.7899999999999991</v>
      </c>
      <c r="K45" s="168">
        <f t="shared" si="40"/>
        <v>22.56</v>
      </c>
      <c r="L45" s="169">
        <f t="shared" si="41"/>
        <v>30.18</v>
      </c>
      <c r="M45" s="170">
        <f t="shared" si="35"/>
        <v>52.74</v>
      </c>
      <c r="N45" s="165">
        <f t="shared" si="20"/>
        <v>4.8150559999999993</v>
      </c>
      <c r="O45" s="166">
        <f t="shared" si="20"/>
        <v>6.4414180000000005</v>
      </c>
      <c r="P45" s="167">
        <f t="shared" ref="P45:P47" si="42">TRUNC(SUM(N45:O45),2)</f>
        <v>11.25</v>
      </c>
      <c r="Q45" s="168">
        <f t="shared" si="37"/>
        <v>28.890335999999998</v>
      </c>
      <c r="R45" s="169">
        <f t="shared" si="38"/>
        <v>38.648508000000007</v>
      </c>
      <c r="S45" s="169">
        <f t="shared" si="39"/>
        <v>67.53</v>
      </c>
      <c r="T45" s="161">
        <f t="shared" si="4"/>
        <v>4.2718451981983402E-5</v>
      </c>
    </row>
    <row r="46" spans="1:20" ht="24.95" customHeight="1" x14ac:dyDescent="0.25">
      <c r="A46" s="162"/>
      <c r="B46" s="162" t="s">
        <v>1215</v>
      </c>
      <c r="C46" s="160">
        <v>9527</v>
      </c>
      <c r="D46" s="171" t="s">
        <v>175</v>
      </c>
      <c r="E46" s="163" t="s">
        <v>1221</v>
      </c>
      <c r="F46" s="160" t="s">
        <v>851</v>
      </c>
      <c r="G46" s="164">
        <v>4</v>
      </c>
      <c r="H46" s="165">
        <v>5.6</v>
      </c>
      <c r="I46" s="166">
        <v>11.56</v>
      </c>
      <c r="J46" s="167">
        <f t="shared" si="34"/>
        <v>17.16</v>
      </c>
      <c r="K46" s="168">
        <f t="shared" si="40"/>
        <v>22.4</v>
      </c>
      <c r="L46" s="169">
        <f t="shared" si="41"/>
        <v>46.24</v>
      </c>
      <c r="M46" s="170">
        <f t="shared" si="35"/>
        <v>68.64</v>
      </c>
      <c r="N46" s="165">
        <f t="shared" si="20"/>
        <v>7.1713599999999991</v>
      </c>
      <c r="O46" s="166">
        <f t="shared" si="20"/>
        <v>14.803736000000001</v>
      </c>
      <c r="P46" s="167">
        <f t="shared" si="42"/>
        <v>21.97</v>
      </c>
      <c r="Q46" s="168">
        <f t="shared" si="37"/>
        <v>28.685439999999996</v>
      </c>
      <c r="R46" s="169">
        <f t="shared" si="38"/>
        <v>59.214944000000003</v>
      </c>
      <c r="S46" s="169">
        <f t="shared" si="39"/>
        <v>87.9</v>
      </c>
      <c r="T46" s="161">
        <f t="shared" si="4"/>
        <v>5.5604204490098348E-5</v>
      </c>
    </row>
    <row r="47" spans="1:20" ht="24.95" customHeight="1" x14ac:dyDescent="0.25">
      <c r="A47" s="162"/>
      <c r="B47" s="162" t="s">
        <v>1216</v>
      </c>
      <c r="C47" s="160">
        <v>9988</v>
      </c>
      <c r="D47" s="171" t="s">
        <v>175</v>
      </c>
      <c r="E47" s="163" t="s">
        <v>1222</v>
      </c>
      <c r="F47" s="160" t="s">
        <v>225</v>
      </c>
      <c r="G47" s="164">
        <v>3</v>
      </c>
      <c r="H47" s="165">
        <v>2.2400000000000002</v>
      </c>
      <c r="I47" s="166">
        <v>2.87</v>
      </c>
      <c r="J47" s="167">
        <f t="shared" si="34"/>
        <v>5.1100000000000003</v>
      </c>
      <c r="K47" s="168">
        <f t="shared" si="40"/>
        <v>6.7200000000000006</v>
      </c>
      <c r="L47" s="169">
        <f t="shared" si="41"/>
        <v>8.61</v>
      </c>
      <c r="M47" s="170">
        <f t="shared" si="35"/>
        <v>15.33</v>
      </c>
      <c r="N47" s="165">
        <f t="shared" si="20"/>
        <v>2.868544</v>
      </c>
      <c r="O47" s="166">
        <f t="shared" si="20"/>
        <v>3.675322</v>
      </c>
      <c r="P47" s="167">
        <f t="shared" si="42"/>
        <v>6.54</v>
      </c>
      <c r="Q47" s="168">
        <f t="shared" si="37"/>
        <v>8.6056319999999999</v>
      </c>
      <c r="R47" s="169">
        <f t="shared" si="38"/>
        <v>11.025966</v>
      </c>
      <c r="S47" s="169">
        <f t="shared" si="39"/>
        <v>19.63</v>
      </c>
      <c r="T47" s="161">
        <f t="shared" si="4"/>
        <v>1.2417639751315478E-5</v>
      </c>
    </row>
    <row r="48" spans="1:20" ht="24.95" customHeight="1" x14ac:dyDescent="0.25">
      <c r="A48" s="162"/>
      <c r="B48" s="162" t="s">
        <v>1217</v>
      </c>
      <c r="C48" s="160">
        <v>60525</v>
      </c>
      <c r="D48" s="171" t="s">
        <v>212</v>
      </c>
      <c r="E48" s="163" t="s">
        <v>305</v>
      </c>
      <c r="F48" s="160" t="s">
        <v>22</v>
      </c>
      <c r="G48" s="164">
        <v>1</v>
      </c>
      <c r="H48" s="165">
        <v>16.71</v>
      </c>
      <c r="I48" s="166">
        <v>12.21</v>
      </c>
      <c r="J48" s="167">
        <f t="shared" si="34"/>
        <v>28.92</v>
      </c>
      <c r="K48" s="168">
        <f t="shared" si="40"/>
        <v>16.71</v>
      </c>
      <c r="L48" s="169">
        <f t="shared" si="41"/>
        <v>12.21</v>
      </c>
      <c r="M48" s="170">
        <f t="shared" si="35"/>
        <v>28.92</v>
      </c>
      <c r="N48" s="165">
        <f t="shared" si="20"/>
        <v>21.398826</v>
      </c>
      <c r="O48" s="166">
        <f t="shared" si="20"/>
        <v>15.636126000000001</v>
      </c>
      <c r="P48" s="167">
        <f t="shared" si="36"/>
        <v>37.03</v>
      </c>
      <c r="Q48" s="168">
        <f t="shared" si="37"/>
        <v>21.398826</v>
      </c>
      <c r="R48" s="169">
        <f t="shared" si="38"/>
        <v>15.636126000000001</v>
      </c>
      <c r="S48" s="169">
        <f t="shared" si="39"/>
        <v>37.03</v>
      </c>
      <c r="T48" s="161">
        <f t="shared" si="4"/>
        <v>2.3424615384167711E-5</v>
      </c>
    </row>
    <row r="49" spans="1:20" ht="39.950000000000003" customHeight="1" x14ac:dyDescent="0.25">
      <c r="A49" s="162"/>
      <c r="B49" s="162" t="s">
        <v>1218</v>
      </c>
      <c r="C49" s="160" t="s">
        <v>747</v>
      </c>
      <c r="D49" s="171" t="s">
        <v>124</v>
      </c>
      <c r="E49" s="163" t="s">
        <v>443</v>
      </c>
      <c r="F49" s="160" t="s">
        <v>22</v>
      </c>
      <c r="G49" s="164">
        <v>36</v>
      </c>
      <c r="H49" s="165">
        <v>6.27</v>
      </c>
      <c r="I49" s="166">
        <v>2.34</v>
      </c>
      <c r="J49" s="167">
        <f t="shared" si="34"/>
        <v>8.61</v>
      </c>
      <c r="K49" s="168">
        <f t="shared" si="40"/>
        <v>225.71999999999997</v>
      </c>
      <c r="L49" s="169">
        <f t="shared" si="41"/>
        <v>84.24</v>
      </c>
      <c r="M49" s="170">
        <f t="shared" si="35"/>
        <v>309.95999999999998</v>
      </c>
      <c r="N49" s="165">
        <f t="shared" si="20"/>
        <v>8.029361999999999</v>
      </c>
      <c r="O49" s="166">
        <f t="shared" si="20"/>
        <v>2.9966039999999996</v>
      </c>
      <c r="P49" s="167">
        <f t="shared" si="36"/>
        <v>11.02</v>
      </c>
      <c r="Q49" s="168">
        <f t="shared" si="37"/>
        <v>289.05703199999994</v>
      </c>
      <c r="R49" s="169">
        <f t="shared" si="38"/>
        <v>107.87774399999998</v>
      </c>
      <c r="S49" s="169">
        <f t="shared" si="39"/>
        <v>396.93</v>
      </c>
      <c r="T49" s="161">
        <f t="shared" si="4"/>
        <v>2.5109188723839289E-4</v>
      </c>
    </row>
    <row r="50" spans="1:20" x14ac:dyDescent="0.25">
      <c r="A50" s="162"/>
      <c r="B50" s="162" t="s">
        <v>1219</v>
      </c>
      <c r="C50" s="160">
        <v>83387</v>
      </c>
      <c r="D50" s="171" t="s">
        <v>31</v>
      </c>
      <c r="E50" s="163" t="s">
        <v>844</v>
      </c>
      <c r="F50" s="160" t="s">
        <v>22</v>
      </c>
      <c r="G50" s="164">
        <v>168</v>
      </c>
      <c r="H50" s="165">
        <v>9.42</v>
      </c>
      <c r="I50" s="166">
        <v>4.16</v>
      </c>
      <c r="J50" s="167">
        <f t="shared" si="34"/>
        <v>13.58</v>
      </c>
      <c r="K50" s="168">
        <f>+H50*G50</f>
        <v>1582.56</v>
      </c>
      <c r="L50" s="169">
        <f>+I50*G50</f>
        <v>698.88</v>
      </c>
      <c r="M50" s="170">
        <f t="shared" si="35"/>
        <v>2281.44</v>
      </c>
      <c r="N50" s="165">
        <f t="shared" si="20"/>
        <v>12.063252</v>
      </c>
      <c r="O50" s="166">
        <f t="shared" si="20"/>
        <v>5.3272959999999996</v>
      </c>
      <c r="P50" s="167">
        <f t="shared" si="36"/>
        <v>17.39</v>
      </c>
      <c r="Q50" s="168">
        <f t="shared" si="37"/>
        <v>2026.626336</v>
      </c>
      <c r="R50" s="169">
        <f t="shared" si="38"/>
        <v>894.98572799999988</v>
      </c>
      <c r="S50" s="169">
        <f t="shared" si="39"/>
        <v>2921.61</v>
      </c>
      <c r="T50" s="161">
        <f t="shared" si="4"/>
        <v>1.8481660964768628E-3</v>
      </c>
    </row>
    <row r="51" spans="1:20" ht="22.5" customHeight="1" x14ac:dyDescent="0.25">
      <c r="A51" s="162"/>
      <c r="B51" s="162" t="s">
        <v>1220</v>
      </c>
      <c r="C51" s="160">
        <v>83388</v>
      </c>
      <c r="D51" s="171" t="s">
        <v>31</v>
      </c>
      <c r="E51" s="163" t="s">
        <v>846</v>
      </c>
      <c r="F51" s="160" t="s">
        <v>22</v>
      </c>
      <c r="G51" s="164">
        <v>636</v>
      </c>
      <c r="H51" s="165">
        <v>9.42</v>
      </c>
      <c r="I51" s="166">
        <v>6.11</v>
      </c>
      <c r="J51" s="167">
        <f t="shared" si="34"/>
        <v>15.53</v>
      </c>
      <c r="K51" s="168">
        <f>+H51*G51</f>
        <v>5991.12</v>
      </c>
      <c r="L51" s="169">
        <f>+I51*G51</f>
        <v>3885.96</v>
      </c>
      <c r="M51" s="170">
        <f t="shared" si="35"/>
        <v>9877.08</v>
      </c>
      <c r="N51" s="165">
        <f t="shared" si="20"/>
        <v>12.063252</v>
      </c>
      <c r="O51" s="166">
        <f t="shared" si="20"/>
        <v>7.8244660000000001</v>
      </c>
      <c r="P51" s="167">
        <f t="shared" si="36"/>
        <v>19.88</v>
      </c>
      <c r="Q51" s="168">
        <f t="shared" si="37"/>
        <v>7672.2282720000003</v>
      </c>
      <c r="R51" s="169">
        <f t="shared" si="38"/>
        <v>4976.3603760000005</v>
      </c>
      <c r="S51" s="169">
        <f t="shared" si="39"/>
        <v>12648.58</v>
      </c>
      <c r="T51" s="161">
        <f t="shared" si="4"/>
        <v>8.0012995316196597E-3</v>
      </c>
    </row>
    <row r="52" spans="1:20" ht="39.950000000000003" customHeight="1" x14ac:dyDescent="0.25">
      <c r="A52" s="326"/>
      <c r="B52" s="341" t="s">
        <v>255</v>
      </c>
      <c r="C52" s="342"/>
      <c r="D52" s="342"/>
      <c r="E52" s="343" t="s">
        <v>847</v>
      </c>
      <c r="F52" s="344"/>
      <c r="G52" s="345"/>
      <c r="H52" s="346"/>
      <c r="I52" s="344"/>
      <c r="J52" s="347">
        <f t="shared" si="34"/>
        <v>0</v>
      </c>
      <c r="K52" s="348">
        <f>SUM(K53:K57)</f>
        <v>22274.718000000001</v>
      </c>
      <c r="L52" s="348">
        <f>SUM(L53:L57)</f>
        <v>78409.600000000006</v>
      </c>
      <c r="M52" s="348">
        <f>SUM(M53:M57)</f>
        <v>100684.3</v>
      </c>
      <c r="N52" s="350">
        <f t="shared" si="20"/>
        <v>0</v>
      </c>
      <c r="O52" s="351">
        <f t="shared" si="20"/>
        <v>0</v>
      </c>
      <c r="P52" s="352">
        <f t="shared" si="36"/>
        <v>0</v>
      </c>
      <c r="Q52" s="348">
        <f>SUM(Q53:Q57)</f>
        <v>28525.003870799999</v>
      </c>
      <c r="R52" s="348">
        <f>SUM(R53:R57)</f>
        <v>100411.33376000001</v>
      </c>
      <c r="S52" s="348">
        <f>SUM(S53:S57)</f>
        <v>128936.31</v>
      </c>
      <c r="T52" s="349">
        <f t="shared" si="4"/>
        <v>8.1563150710338025E-2</v>
      </c>
    </row>
    <row r="53" spans="1:20" ht="24.95" customHeight="1" x14ac:dyDescent="0.25">
      <c r="A53" s="162"/>
      <c r="B53" s="162" t="s">
        <v>132</v>
      </c>
      <c r="C53" s="160" t="s">
        <v>848</v>
      </c>
      <c r="D53" s="171" t="s">
        <v>849</v>
      </c>
      <c r="E53" s="163" t="s">
        <v>850</v>
      </c>
      <c r="F53" s="160" t="s">
        <v>851</v>
      </c>
      <c r="G53" s="164">
        <v>1206</v>
      </c>
      <c r="H53" s="165">
        <v>2.84</v>
      </c>
      <c r="I53" s="166">
        <v>11.66</v>
      </c>
      <c r="J53" s="167">
        <f t="shared" si="34"/>
        <v>14.5</v>
      </c>
      <c r="K53" s="168">
        <f>+H53*G53</f>
        <v>3425.04</v>
      </c>
      <c r="L53" s="169">
        <f>+I53*G53</f>
        <v>14061.960000000001</v>
      </c>
      <c r="M53" s="170">
        <f t="shared" ref="M53:M57" si="43">TRUNC(SUM(K53:L53),2)</f>
        <v>17487</v>
      </c>
      <c r="N53" s="165">
        <f t="shared" si="20"/>
        <v>3.6369039999999999</v>
      </c>
      <c r="O53" s="166">
        <f t="shared" si="20"/>
        <v>14.931796</v>
      </c>
      <c r="P53" s="167">
        <f t="shared" si="36"/>
        <v>18.559999999999999</v>
      </c>
      <c r="Q53" s="168">
        <f t="shared" si="37"/>
        <v>4386.1062240000001</v>
      </c>
      <c r="R53" s="169">
        <f t="shared" si="38"/>
        <v>18007.745976000002</v>
      </c>
      <c r="S53" s="169">
        <f t="shared" si="39"/>
        <v>22393.85</v>
      </c>
      <c r="T53" s="161">
        <f t="shared" si="4"/>
        <v>1.4166009268721146E-2</v>
      </c>
    </row>
    <row r="54" spans="1:20" ht="39.950000000000003" customHeight="1" x14ac:dyDescent="0.25">
      <c r="A54" s="162"/>
      <c r="B54" s="162" t="s">
        <v>1194</v>
      </c>
      <c r="C54" s="160" t="s">
        <v>852</v>
      </c>
      <c r="D54" s="171" t="s">
        <v>849</v>
      </c>
      <c r="E54" s="163" t="s">
        <v>853</v>
      </c>
      <c r="F54" s="160" t="s">
        <v>851</v>
      </c>
      <c r="G54" s="164">
        <v>661.4</v>
      </c>
      <c r="H54" s="165">
        <v>2.84</v>
      </c>
      <c r="I54" s="166">
        <v>18.75</v>
      </c>
      <c r="J54" s="167">
        <f t="shared" si="34"/>
        <v>21.59</v>
      </c>
      <c r="K54" s="168">
        <f>+H54*G54</f>
        <v>1878.3759999999997</v>
      </c>
      <c r="L54" s="169">
        <f>+I54*G54</f>
        <v>12401.25</v>
      </c>
      <c r="M54" s="170">
        <f t="shared" si="43"/>
        <v>14279.62</v>
      </c>
      <c r="N54" s="165">
        <f t="shared" si="20"/>
        <v>3.6369039999999999</v>
      </c>
      <c r="O54" s="166">
        <f t="shared" si="20"/>
        <v>24.01125</v>
      </c>
      <c r="P54" s="167">
        <f t="shared" si="36"/>
        <v>27.64</v>
      </c>
      <c r="Q54" s="168">
        <f t="shared" si="37"/>
        <v>2405.4483055999999</v>
      </c>
      <c r="R54" s="169">
        <f t="shared" si="38"/>
        <v>15881.04075</v>
      </c>
      <c r="S54" s="169">
        <f t="shared" si="39"/>
        <v>18286.48</v>
      </c>
      <c r="T54" s="161">
        <f t="shared" si="4"/>
        <v>1.1567749412105728E-2</v>
      </c>
    </row>
    <row r="55" spans="1:20" ht="24.95" customHeight="1" x14ac:dyDescent="0.25">
      <c r="A55" s="162"/>
      <c r="B55" s="162" t="s">
        <v>1195</v>
      </c>
      <c r="C55" s="160" t="s">
        <v>856</v>
      </c>
      <c r="D55" s="171" t="s">
        <v>849</v>
      </c>
      <c r="E55" s="163" t="s">
        <v>857</v>
      </c>
      <c r="F55" s="160" t="s">
        <v>851</v>
      </c>
      <c r="G55" s="164">
        <v>42.8</v>
      </c>
      <c r="H55" s="165">
        <v>3.45</v>
      </c>
      <c r="I55" s="166">
        <v>102.22</v>
      </c>
      <c r="J55" s="167">
        <f t="shared" si="34"/>
        <v>105.67</v>
      </c>
      <c r="K55" s="168">
        <f t="shared" ref="K55:K57" si="44">+H55*G55</f>
        <v>147.66</v>
      </c>
      <c r="L55" s="169">
        <f t="shared" ref="L55:L57" si="45">+I55*G55</f>
        <v>4375.0159999999996</v>
      </c>
      <c r="M55" s="170">
        <f t="shared" si="43"/>
        <v>4522.67</v>
      </c>
      <c r="N55" s="165">
        <f t="shared" si="20"/>
        <v>4.4180700000000002</v>
      </c>
      <c r="O55" s="166">
        <f t="shared" si="20"/>
        <v>130.90293199999999</v>
      </c>
      <c r="P55" s="167">
        <f t="shared" si="36"/>
        <v>135.32</v>
      </c>
      <c r="Q55" s="168">
        <f t="shared" si="37"/>
        <v>189.09339599999998</v>
      </c>
      <c r="R55" s="169">
        <f t="shared" si="38"/>
        <v>5602.6454895999996</v>
      </c>
      <c r="S55" s="169">
        <f t="shared" si="39"/>
        <v>5791.73</v>
      </c>
      <c r="T55" s="161">
        <f t="shared" si="4"/>
        <v>3.6637604012677732E-3</v>
      </c>
    </row>
    <row r="56" spans="1:20" ht="24.95" customHeight="1" x14ac:dyDescent="0.25">
      <c r="A56" s="162"/>
      <c r="B56" s="162" t="s">
        <v>1196</v>
      </c>
      <c r="C56" s="160" t="s">
        <v>854</v>
      </c>
      <c r="D56" s="171" t="s">
        <v>849</v>
      </c>
      <c r="E56" s="163" t="s">
        <v>855</v>
      </c>
      <c r="F56" s="160" t="s">
        <v>851</v>
      </c>
      <c r="G56" s="164">
        <v>181.1</v>
      </c>
      <c r="H56" s="165">
        <v>1.42</v>
      </c>
      <c r="I56" s="166">
        <v>5.0199999999999996</v>
      </c>
      <c r="J56" s="167">
        <f t="shared" si="34"/>
        <v>6.44</v>
      </c>
      <c r="K56" s="168">
        <f t="shared" si="44"/>
        <v>257.16199999999998</v>
      </c>
      <c r="L56" s="169">
        <f t="shared" si="45"/>
        <v>909.12199999999984</v>
      </c>
      <c r="M56" s="170">
        <f t="shared" si="43"/>
        <v>1166.28</v>
      </c>
      <c r="N56" s="165">
        <f t="shared" si="20"/>
        <v>1.818452</v>
      </c>
      <c r="O56" s="166">
        <f t="shared" si="20"/>
        <v>6.4286119999999993</v>
      </c>
      <c r="P56" s="167">
        <f t="shared" ref="P56" si="46">TRUNC(SUM(N56:O56),2)</f>
        <v>8.24</v>
      </c>
      <c r="Q56" s="168">
        <f t="shared" si="37"/>
        <v>329.3216572</v>
      </c>
      <c r="R56" s="169">
        <f t="shared" si="38"/>
        <v>1164.2216331999998</v>
      </c>
      <c r="S56" s="169">
        <f t="shared" si="39"/>
        <v>1493.54</v>
      </c>
      <c r="T56" s="161">
        <f t="shared" si="4"/>
        <v>9.4479071187874263E-4</v>
      </c>
    </row>
    <row r="57" spans="1:20" ht="24.95" customHeight="1" x14ac:dyDescent="0.25">
      <c r="A57" s="326"/>
      <c r="B57" s="162" t="s">
        <v>1333</v>
      </c>
      <c r="C57" s="160" t="s">
        <v>858</v>
      </c>
      <c r="D57" s="171" t="s">
        <v>849</v>
      </c>
      <c r="E57" s="163" t="s">
        <v>859</v>
      </c>
      <c r="F57" s="160" t="s">
        <v>851</v>
      </c>
      <c r="G57" s="164">
        <v>13805.4</v>
      </c>
      <c r="H57" s="165">
        <v>1.2</v>
      </c>
      <c r="I57" s="166">
        <v>3.38</v>
      </c>
      <c r="J57" s="167">
        <f t="shared" si="34"/>
        <v>4.58</v>
      </c>
      <c r="K57" s="168">
        <f t="shared" si="44"/>
        <v>16566.48</v>
      </c>
      <c r="L57" s="169">
        <f t="shared" si="45"/>
        <v>46662.252</v>
      </c>
      <c r="M57" s="170">
        <f t="shared" si="43"/>
        <v>63228.73</v>
      </c>
      <c r="N57" s="165">
        <f t="shared" si="20"/>
        <v>1.5367199999999999</v>
      </c>
      <c r="O57" s="166">
        <f t="shared" si="20"/>
        <v>4.3284279999999997</v>
      </c>
      <c r="P57" s="167">
        <f t="shared" si="36"/>
        <v>5.86</v>
      </c>
      <c r="Q57" s="168">
        <f t="shared" si="37"/>
        <v>21215.034287999999</v>
      </c>
      <c r="R57" s="169">
        <f t="shared" si="38"/>
        <v>59755.679911199994</v>
      </c>
      <c r="S57" s="169">
        <f t="shared" si="39"/>
        <v>80970.710000000006</v>
      </c>
      <c r="T57" s="161">
        <f t="shared" si="4"/>
        <v>5.1220840916364634E-2</v>
      </c>
    </row>
    <row r="58" spans="1:20" ht="24.95" customHeight="1" x14ac:dyDescent="0.25">
      <c r="A58" s="162"/>
      <c r="B58" s="162"/>
      <c r="C58" s="160"/>
      <c r="D58" s="171"/>
      <c r="E58" s="163"/>
      <c r="F58" s="160"/>
      <c r="G58" s="164"/>
      <c r="H58" s="165"/>
      <c r="I58" s="166"/>
      <c r="J58" s="167"/>
      <c r="K58" s="168"/>
      <c r="L58" s="169"/>
      <c r="M58" s="170"/>
      <c r="N58" s="165"/>
      <c r="O58" s="166"/>
      <c r="P58" s="167"/>
      <c r="Q58" s="168"/>
      <c r="R58" s="169"/>
      <c r="S58" s="169"/>
      <c r="T58" s="161">
        <f t="shared" si="4"/>
        <v>0</v>
      </c>
    </row>
    <row r="59" spans="1:20" ht="30" customHeight="1" x14ac:dyDescent="0.25">
      <c r="A59" s="162"/>
      <c r="B59" s="326">
        <v>6</v>
      </c>
      <c r="C59" s="327"/>
      <c r="D59" s="327"/>
      <c r="E59" s="328" t="s">
        <v>860</v>
      </c>
      <c r="F59" s="329"/>
      <c r="G59" s="330"/>
      <c r="H59" s="331"/>
      <c r="I59" s="329"/>
      <c r="J59" s="332">
        <f t="shared" si="34"/>
        <v>0</v>
      </c>
      <c r="K59" s="337">
        <f>SUM(K60:K60)</f>
        <v>4359</v>
      </c>
      <c r="L59" s="337">
        <f>SUM(L60:L60)</f>
        <v>97440</v>
      </c>
      <c r="M59" s="337">
        <f>SUM(M60:M60)</f>
        <v>101799</v>
      </c>
      <c r="N59" s="353">
        <f t="shared" si="20"/>
        <v>0</v>
      </c>
      <c r="O59" s="354">
        <f t="shared" si="20"/>
        <v>0</v>
      </c>
      <c r="P59" s="355">
        <f t="shared" si="36"/>
        <v>0</v>
      </c>
      <c r="Q59" s="337">
        <f>SUM(Q60:Q60)</f>
        <v>5582.1354000000001</v>
      </c>
      <c r="R59" s="337">
        <f>SUM(R60:R60)</f>
        <v>124781.66399999999</v>
      </c>
      <c r="S59" s="337">
        <f>SUM(S60:S60)</f>
        <v>130363.79</v>
      </c>
      <c r="T59" s="333">
        <f t="shared" si="4"/>
        <v>8.2466152869900305E-2</v>
      </c>
    </row>
    <row r="60" spans="1:20" ht="30" customHeight="1" x14ac:dyDescent="0.25">
      <c r="A60" s="162"/>
      <c r="B60" s="162" t="s">
        <v>626</v>
      </c>
      <c r="C60" s="160" t="s">
        <v>861</v>
      </c>
      <c r="D60" s="171" t="s">
        <v>124</v>
      </c>
      <c r="E60" s="163" t="s">
        <v>1349</v>
      </c>
      <c r="F60" s="160" t="s">
        <v>35</v>
      </c>
      <c r="G60" s="164">
        <v>300</v>
      </c>
      <c r="H60" s="165">
        <v>14.53</v>
      </c>
      <c r="I60" s="166">
        <v>324.8</v>
      </c>
      <c r="J60" s="167">
        <f t="shared" si="34"/>
        <v>339.33</v>
      </c>
      <c r="K60" s="168">
        <f t="shared" ref="K60:K79" si="47">+H60*G60</f>
        <v>4359</v>
      </c>
      <c r="L60" s="169">
        <f t="shared" ref="L60:L79" si="48">+I60*G60</f>
        <v>97440</v>
      </c>
      <c r="M60" s="170">
        <f t="shared" ref="M60:M79" si="49">TRUNC(SUM(K60:L60),2)</f>
        <v>101799</v>
      </c>
      <c r="N60" s="165">
        <f t="shared" si="20"/>
        <v>18.607118</v>
      </c>
      <c r="O60" s="166">
        <f t="shared" si="20"/>
        <v>415.93887999999998</v>
      </c>
      <c r="P60" s="167">
        <f t="shared" si="36"/>
        <v>434.54</v>
      </c>
      <c r="Q60" s="168">
        <f t="shared" ref="Q60:Q79" si="50">+N60*G60</f>
        <v>5582.1354000000001</v>
      </c>
      <c r="R60" s="169">
        <f t="shared" ref="R60:R79" si="51">+O60*G60</f>
        <v>124781.66399999999</v>
      </c>
      <c r="S60" s="169">
        <f t="shared" ref="S60:S79" si="52">TRUNC(SUM(Q60:R60),2)</f>
        <v>130363.79</v>
      </c>
      <c r="T60" s="161">
        <f t="shared" si="4"/>
        <v>8.2466152869900305E-2</v>
      </c>
    </row>
    <row r="61" spans="1:20" ht="30" customHeight="1" x14ac:dyDescent="0.25">
      <c r="A61" s="162"/>
      <c r="B61" s="162"/>
      <c r="C61" s="160"/>
      <c r="D61" s="171"/>
      <c r="E61" s="163"/>
      <c r="F61" s="160"/>
      <c r="G61" s="164"/>
      <c r="H61" s="165"/>
      <c r="I61" s="166"/>
      <c r="J61" s="167"/>
      <c r="K61" s="168"/>
      <c r="L61" s="169"/>
      <c r="M61" s="170"/>
      <c r="N61" s="165"/>
      <c r="O61" s="166"/>
      <c r="P61" s="167"/>
      <c r="Q61" s="168"/>
      <c r="R61" s="169"/>
      <c r="S61" s="169"/>
      <c r="T61" s="161">
        <f t="shared" si="4"/>
        <v>0</v>
      </c>
    </row>
    <row r="62" spans="1:20" ht="30" customHeight="1" x14ac:dyDescent="0.25">
      <c r="A62" s="162"/>
      <c r="B62" s="326">
        <v>7</v>
      </c>
      <c r="C62" s="327"/>
      <c r="D62" s="327"/>
      <c r="E62" s="328" t="s">
        <v>439</v>
      </c>
      <c r="F62" s="329"/>
      <c r="G62" s="330"/>
      <c r="H62" s="331"/>
      <c r="I62" s="329"/>
      <c r="J62" s="332">
        <f t="shared" si="34"/>
        <v>0</v>
      </c>
      <c r="K62" s="337">
        <f>SUM(K63:K68)</f>
        <v>5580.83</v>
      </c>
      <c r="L62" s="337">
        <f>SUM(L63:L68)</f>
        <v>8696.16</v>
      </c>
      <c r="M62" s="337">
        <f>SUM(M63:M68)</f>
        <v>14276.989999999998</v>
      </c>
      <c r="N62" s="353">
        <f t="shared" si="20"/>
        <v>0</v>
      </c>
      <c r="O62" s="354">
        <f t="shared" si="20"/>
        <v>0</v>
      </c>
      <c r="P62" s="355">
        <f t="shared" si="36"/>
        <v>0</v>
      </c>
      <c r="Q62" s="337">
        <f>SUM(Q63:Q68)</f>
        <v>7146.8108979999988</v>
      </c>
      <c r="R62" s="337">
        <f>SUM(R63:R68)</f>
        <v>11136.302496</v>
      </c>
      <c r="S62" s="337">
        <f>SUM(S63:S68)</f>
        <v>18283.079999999998</v>
      </c>
      <c r="T62" s="333">
        <f t="shared" si="4"/>
        <v>1.1565598623763676E-2</v>
      </c>
    </row>
    <row r="63" spans="1:20" ht="30" customHeight="1" x14ac:dyDescent="0.25">
      <c r="A63" s="162"/>
      <c r="B63" s="162" t="s">
        <v>1358</v>
      </c>
      <c r="C63" s="160">
        <v>91967</v>
      </c>
      <c r="D63" s="171" t="s">
        <v>31</v>
      </c>
      <c r="E63" s="163" t="s">
        <v>745</v>
      </c>
      <c r="F63" s="160" t="s">
        <v>22</v>
      </c>
      <c r="G63" s="164">
        <v>3</v>
      </c>
      <c r="H63" s="165">
        <v>39.29</v>
      </c>
      <c r="I63" s="166">
        <v>32.380000000000003</v>
      </c>
      <c r="J63" s="167">
        <f t="shared" si="34"/>
        <v>71.67</v>
      </c>
      <c r="K63" s="168">
        <f t="shared" si="47"/>
        <v>117.87</v>
      </c>
      <c r="L63" s="169">
        <f t="shared" si="48"/>
        <v>97.140000000000015</v>
      </c>
      <c r="M63" s="170">
        <f t="shared" si="49"/>
        <v>215.01</v>
      </c>
      <c r="N63" s="165">
        <f t="shared" ref="N63:O124" si="53">+H63*(1+$T$10)</f>
        <v>50.314774</v>
      </c>
      <c r="O63" s="166">
        <f t="shared" si="53"/>
        <v>41.465828000000002</v>
      </c>
      <c r="P63" s="167">
        <f t="shared" si="36"/>
        <v>91.78</v>
      </c>
      <c r="Q63" s="168">
        <f t="shared" si="50"/>
        <v>150.944322</v>
      </c>
      <c r="R63" s="169">
        <f t="shared" si="51"/>
        <v>124.39748400000001</v>
      </c>
      <c r="S63" s="169">
        <f t="shared" si="52"/>
        <v>275.33999999999997</v>
      </c>
      <c r="T63" s="161">
        <f t="shared" si="4"/>
        <v>1.7417590061778927E-4</v>
      </c>
    </row>
    <row r="64" spans="1:20" ht="30" customHeight="1" x14ac:dyDescent="0.25">
      <c r="A64" s="162"/>
      <c r="B64" s="162" t="s">
        <v>1359</v>
      </c>
      <c r="C64" s="160" t="s">
        <v>873</v>
      </c>
      <c r="D64" s="171" t="s">
        <v>874</v>
      </c>
      <c r="E64" s="163" t="s">
        <v>1346</v>
      </c>
      <c r="F64" s="160" t="s">
        <v>824</v>
      </c>
      <c r="G64" s="164">
        <v>139</v>
      </c>
      <c r="H64" s="165">
        <v>8.92</v>
      </c>
      <c r="I64" s="166">
        <v>5.64</v>
      </c>
      <c r="J64" s="167">
        <f t="shared" ref="J64:J65" si="54">TRUNC(SUM(H64:I64),2)</f>
        <v>14.56</v>
      </c>
      <c r="K64" s="168">
        <f t="shared" si="47"/>
        <v>1239.8799999999999</v>
      </c>
      <c r="L64" s="169">
        <f t="shared" si="48"/>
        <v>783.95999999999992</v>
      </c>
      <c r="M64" s="170">
        <f t="shared" si="49"/>
        <v>2023.84</v>
      </c>
      <c r="N64" s="165">
        <f t="shared" si="53"/>
        <v>11.422952</v>
      </c>
      <c r="O64" s="166">
        <f t="shared" si="53"/>
        <v>7.2225839999999994</v>
      </c>
      <c r="P64" s="167">
        <f t="shared" ref="P64:P68" si="55">TRUNC(SUM(N64:O64),2)</f>
        <v>18.64</v>
      </c>
      <c r="Q64" s="168">
        <f t="shared" si="50"/>
        <v>1587.790328</v>
      </c>
      <c r="R64" s="169">
        <f t="shared" si="51"/>
        <v>1003.939176</v>
      </c>
      <c r="S64" s="169">
        <f t="shared" si="52"/>
        <v>2591.7199999999998</v>
      </c>
      <c r="T64" s="161">
        <f t="shared" si="4"/>
        <v>1.639482694665275E-3</v>
      </c>
    </row>
    <row r="65" spans="1:20" ht="30" customHeight="1" x14ac:dyDescent="0.25">
      <c r="A65" s="162"/>
      <c r="B65" s="162" t="s">
        <v>1360</v>
      </c>
      <c r="C65" s="160" t="s">
        <v>876</v>
      </c>
      <c r="D65" s="171" t="s">
        <v>874</v>
      </c>
      <c r="E65" s="163" t="s">
        <v>1347</v>
      </c>
      <c r="F65" s="160" t="s">
        <v>225</v>
      </c>
      <c r="G65" s="164">
        <v>225</v>
      </c>
      <c r="H65" s="165">
        <v>9.85</v>
      </c>
      <c r="I65" s="166">
        <v>10.96</v>
      </c>
      <c r="J65" s="167">
        <f t="shared" si="54"/>
        <v>20.81</v>
      </c>
      <c r="K65" s="168">
        <f t="shared" si="47"/>
        <v>2216.25</v>
      </c>
      <c r="L65" s="169">
        <f t="shared" si="48"/>
        <v>2466</v>
      </c>
      <c r="M65" s="170">
        <f t="shared" si="49"/>
        <v>4682.25</v>
      </c>
      <c r="N65" s="165">
        <f t="shared" si="53"/>
        <v>12.613909999999999</v>
      </c>
      <c r="O65" s="166">
        <f t="shared" si="53"/>
        <v>14.035376000000001</v>
      </c>
      <c r="P65" s="167">
        <f t="shared" si="55"/>
        <v>26.64</v>
      </c>
      <c r="Q65" s="168">
        <f t="shared" si="50"/>
        <v>2838.1297499999996</v>
      </c>
      <c r="R65" s="169">
        <f t="shared" si="51"/>
        <v>3157.9596000000001</v>
      </c>
      <c r="S65" s="169">
        <f t="shared" si="52"/>
        <v>5996.08</v>
      </c>
      <c r="T65" s="161">
        <f t="shared" si="4"/>
        <v>3.7930291064731383E-3</v>
      </c>
    </row>
    <row r="66" spans="1:20" ht="30" customHeight="1" x14ac:dyDescent="0.25">
      <c r="A66" s="162"/>
      <c r="B66" s="162" t="s">
        <v>863</v>
      </c>
      <c r="C66" s="160" t="s">
        <v>1225</v>
      </c>
      <c r="D66" s="171" t="s">
        <v>1226</v>
      </c>
      <c r="E66" s="163" t="s">
        <v>1227</v>
      </c>
      <c r="F66" s="160" t="s">
        <v>22</v>
      </c>
      <c r="G66" s="164">
        <v>5</v>
      </c>
      <c r="H66" s="165">
        <v>108.8</v>
      </c>
      <c r="I66" s="166">
        <v>606.04</v>
      </c>
      <c r="J66" s="167">
        <f t="shared" ref="J66:J68" si="56">TRUNC(SUM(H66:I66),2)</f>
        <v>714.84</v>
      </c>
      <c r="K66" s="168">
        <f t="shared" si="47"/>
        <v>544</v>
      </c>
      <c r="L66" s="169">
        <f t="shared" si="48"/>
        <v>3030.2</v>
      </c>
      <c r="M66" s="170">
        <f t="shared" si="49"/>
        <v>3574.2</v>
      </c>
      <c r="N66" s="165">
        <f t="shared" si="53"/>
        <v>139.32927999999998</v>
      </c>
      <c r="O66" s="166">
        <f t="shared" si="53"/>
        <v>776.0948239999999</v>
      </c>
      <c r="P66" s="167">
        <f t="shared" si="55"/>
        <v>915.42</v>
      </c>
      <c r="Q66" s="168">
        <f t="shared" si="50"/>
        <v>696.64639999999986</v>
      </c>
      <c r="R66" s="169">
        <f t="shared" si="51"/>
        <v>3880.4741199999994</v>
      </c>
      <c r="S66" s="169">
        <f t="shared" si="52"/>
        <v>4577.12</v>
      </c>
      <c r="T66" s="161">
        <f t="shared" si="4"/>
        <v>2.8954165694621038E-3</v>
      </c>
    </row>
    <row r="67" spans="1:20" ht="30" customHeight="1" x14ac:dyDescent="0.25">
      <c r="A67" s="162"/>
      <c r="B67" s="162" t="s">
        <v>1361</v>
      </c>
      <c r="C67" s="160">
        <v>91953</v>
      </c>
      <c r="D67" s="171" t="s">
        <v>31</v>
      </c>
      <c r="E67" s="163" t="s">
        <v>1268</v>
      </c>
      <c r="F67" s="160" t="s">
        <v>22</v>
      </c>
      <c r="G67" s="164">
        <v>57</v>
      </c>
      <c r="H67" s="165">
        <v>8.75</v>
      </c>
      <c r="I67" s="166">
        <v>14.7</v>
      </c>
      <c r="J67" s="167">
        <f t="shared" si="56"/>
        <v>23.45</v>
      </c>
      <c r="K67" s="168">
        <f t="shared" si="47"/>
        <v>498.75</v>
      </c>
      <c r="L67" s="169">
        <f t="shared" si="48"/>
        <v>837.9</v>
      </c>
      <c r="M67" s="170">
        <f t="shared" si="49"/>
        <v>1336.65</v>
      </c>
      <c r="N67" s="165">
        <f t="shared" si="53"/>
        <v>11.205249999999999</v>
      </c>
      <c r="O67" s="166">
        <f t="shared" si="53"/>
        <v>18.824819999999999</v>
      </c>
      <c r="P67" s="167">
        <f t="shared" si="55"/>
        <v>30.03</v>
      </c>
      <c r="Q67" s="168">
        <f t="shared" si="50"/>
        <v>638.69925000000001</v>
      </c>
      <c r="R67" s="169">
        <f t="shared" si="51"/>
        <v>1073.0147399999998</v>
      </c>
      <c r="S67" s="169">
        <f t="shared" si="52"/>
        <v>1711.71</v>
      </c>
      <c r="T67" s="161">
        <f t="shared" si="4"/>
        <v>1.0828017391097411E-3</v>
      </c>
    </row>
    <row r="68" spans="1:20" ht="30" customHeight="1" x14ac:dyDescent="0.25">
      <c r="A68" s="162"/>
      <c r="B68" s="162" t="s">
        <v>864</v>
      </c>
      <c r="C68" s="160" t="s">
        <v>867</v>
      </c>
      <c r="D68" s="171" t="s">
        <v>31</v>
      </c>
      <c r="E68" s="163" t="s">
        <v>868</v>
      </c>
      <c r="F68" s="160" t="s">
        <v>22</v>
      </c>
      <c r="G68" s="164">
        <v>52</v>
      </c>
      <c r="H68" s="165">
        <v>18.54</v>
      </c>
      <c r="I68" s="166">
        <v>28.48</v>
      </c>
      <c r="J68" s="167">
        <f t="shared" si="56"/>
        <v>47.02</v>
      </c>
      <c r="K68" s="168">
        <f t="shared" si="47"/>
        <v>964.07999999999993</v>
      </c>
      <c r="L68" s="169">
        <f t="shared" si="48"/>
        <v>1480.96</v>
      </c>
      <c r="M68" s="170">
        <f t="shared" si="49"/>
        <v>2445.04</v>
      </c>
      <c r="N68" s="165">
        <f t="shared" si="53"/>
        <v>23.742323999999996</v>
      </c>
      <c r="O68" s="166">
        <f t="shared" si="53"/>
        <v>36.471488000000001</v>
      </c>
      <c r="P68" s="167">
        <f t="shared" si="55"/>
        <v>60.21</v>
      </c>
      <c r="Q68" s="168">
        <f t="shared" si="50"/>
        <v>1234.6008479999998</v>
      </c>
      <c r="R68" s="169">
        <f t="shared" si="51"/>
        <v>1896.517376</v>
      </c>
      <c r="S68" s="169">
        <f t="shared" si="52"/>
        <v>3131.11</v>
      </c>
      <c r="T68" s="161">
        <f t="shared" si="4"/>
        <v>1.9806926134356296E-3</v>
      </c>
    </row>
    <row r="69" spans="1:20" ht="30" customHeight="1" x14ac:dyDescent="0.25">
      <c r="A69" s="162"/>
      <c r="B69" s="162"/>
      <c r="C69" s="160"/>
      <c r="D69" s="171"/>
      <c r="E69" s="163"/>
      <c r="F69" s="160"/>
      <c r="G69" s="164"/>
      <c r="H69" s="165"/>
      <c r="I69" s="166"/>
      <c r="J69" s="167"/>
      <c r="K69" s="168"/>
      <c r="L69" s="169"/>
      <c r="M69" s="170"/>
      <c r="N69" s="165"/>
      <c r="O69" s="166"/>
      <c r="P69" s="167"/>
      <c r="Q69" s="168"/>
      <c r="R69" s="169"/>
      <c r="S69" s="169"/>
      <c r="T69" s="161">
        <f t="shared" si="4"/>
        <v>0</v>
      </c>
    </row>
    <row r="70" spans="1:20" ht="30" customHeight="1" x14ac:dyDescent="0.25">
      <c r="A70" s="162"/>
      <c r="B70" s="326">
        <v>8</v>
      </c>
      <c r="C70" s="327"/>
      <c r="D70" s="327"/>
      <c r="E70" s="328" t="s">
        <v>880</v>
      </c>
      <c r="F70" s="329"/>
      <c r="G70" s="330"/>
      <c r="H70" s="331"/>
      <c r="I70" s="329"/>
      <c r="J70" s="332">
        <f t="shared" ref="J70" si="57">TRUNC(SUM(H70:I70),2)</f>
        <v>0</v>
      </c>
      <c r="K70" s="337">
        <f>SUM(K71:K78)</f>
        <v>3337.74</v>
      </c>
      <c r="L70" s="337">
        <f>SUM(L71:L78)</f>
        <v>9803.52</v>
      </c>
      <c r="M70" s="337">
        <f>SUM(M71:M78)</f>
        <v>13141.259999999998</v>
      </c>
      <c r="N70" s="353">
        <f t="shared" si="53"/>
        <v>0</v>
      </c>
      <c r="O70" s="354">
        <f t="shared" si="53"/>
        <v>0</v>
      </c>
      <c r="P70" s="355">
        <f t="shared" ref="P70" si="58">TRUNC(SUM(N70:O70),2)</f>
        <v>0</v>
      </c>
      <c r="Q70" s="337">
        <f>SUM(Q71:Q78)</f>
        <v>4274.3098439999994</v>
      </c>
      <c r="R70" s="337">
        <f>SUM(R71:R78)</f>
        <v>12554.387712</v>
      </c>
      <c r="S70" s="337">
        <f>SUM(S71:S78)</f>
        <v>16828.650000000001</v>
      </c>
      <c r="T70" s="333">
        <f t="shared" si="4"/>
        <v>1.0645548303666593E-2</v>
      </c>
    </row>
    <row r="71" spans="1:20" ht="30" customHeight="1" x14ac:dyDescent="0.25">
      <c r="A71" s="162"/>
      <c r="B71" s="162" t="s">
        <v>881</v>
      </c>
      <c r="C71" s="160" t="s">
        <v>889</v>
      </c>
      <c r="D71" s="171" t="s">
        <v>849</v>
      </c>
      <c r="E71" s="163" t="s">
        <v>890</v>
      </c>
      <c r="F71" s="160" t="s">
        <v>225</v>
      </c>
      <c r="G71" s="164">
        <v>2</v>
      </c>
      <c r="H71" s="165">
        <v>34.94</v>
      </c>
      <c r="I71" s="166">
        <v>57.68</v>
      </c>
      <c r="J71" s="167">
        <f t="shared" si="34"/>
        <v>92.62</v>
      </c>
      <c r="K71" s="168">
        <f t="shared" si="47"/>
        <v>69.88</v>
      </c>
      <c r="L71" s="169">
        <f t="shared" si="48"/>
        <v>115.36</v>
      </c>
      <c r="M71" s="170">
        <f t="shared" si="49"/>
        <v>185.24</v>
      </c>
      <c r="N71" s="165">
        <f t="shared" si="53"/>
        <v>44.744163999999998</v>
      </c>
      <c r="O71" s="166">
        <f t="shared" si="53"/>
        <v>73.865008000000003</v>
      </c>
      <c r="P71" s="167">
        <f t="shared" si="36"/>
        <v>118.6</v>
      </c>
      <c r="Q71" s="168">
        <f t="shared" si="50"/>
        <v>89.488327999999996</v>
      </c>
      <c r="R71" s="169">
        <f t="shared" si="51"/>
        <v>147.73001600000001</v>
      </c>
      <c r="S71" s="169">
        <f t="shared" si="52"/>
        <v>237.21</v>
      </c>
      <c r="T71" s="161">
        <f t="shared" si="4"/>
        <v>1.5005544194648723E-4</v>
      </c>
    </row>
    <row r="72" spans="1:20" ht="30" customHeight="1" x14ac:dyDescent="0.25">
      <c r="A72" s="326"/>
      <c r="B72" s="162" t="s">
        <v>882</v>
      </c>
      <c r="C72" s="160">
        <v>64325</v>
      </c>
      <c r="D72" s="171" t="s">
        <v>212</v>
      </c>
      <c r="E72" s="163" t="s">
        <v>892</v>
      </c>
      <c r="F72" s="160" t="s">
        <v>22</v>
      </c>
      <c r="G72" s="164">
        <v>2</v>
      </c>
      <c r="H72" s="165">
        <v>12.21</v>
      </c>
      <c r="I72" s="166">
        <v>61.4</v>
      </c>
      <c r="J72" s="167">
        <f t="shared" si="34"/>
        <v>73.61</v>
      </c>
      <c r="K72" s="168">
        <f t="shared" si="47"/>
        <v>24.42</v>
      </c>
      <c r="L72" s="169">
        <f t="shared" si="48"/>
        <v>122.8</v>
      </c>
      <c r="M72" s="170">
        <f t="shared" si="49"/>
        <v>147.22</v>
      </c>
      <c r="N72" s="165">
        <f t="shared" si="53"/>
        <v>15.636126000000001</v>
      </c>
      <c r="O72" s="166">
        <f t="shared" si="53"/>
        <v>78.628839999999997</v>
      </c>
      <c r="P72" s="167">
        <f t="shared" si="36"/>
        <v>94.26</v>
      </c>
      <c r="Q72" s="168">
        <f t="shared" si="50"/>
        <v>31.272252000000002</v>
      </c>
      <c r="R72" s="169">
        <f t="shared" si="51"/>
        <v>157.25767999999999</v>
      </c>
      <c r="S72" s="169">
        <f t="shared" si="52"/>
        <v>188.52</v>
      </c>
      <c r="T72" s="161">
        <f t="shared" si="4"/>
        <v>1.1925488771869557E-4</v>
      </c>
    </row>
    <row r="73" spans="1:20" ht="30" customHeight="1" x14ac:dyDescent="0.25">
      <c r="A73" s="162"/>
      <c r="B73" s="162" t="s">
        <v>883</v>
      </c>
      <c r="C73" s="160">
        <v>93671</v>
      </c>
      <c r="D73" s="171" t="s">
        <v>31</v>
      </c>
      <c r="E73" s="163" t="s">
        <v>743</v>
      </c>
      <c r="F73" s="160" t="s">
        <v>22</v>
      </c>
      <c r="G73" s="164">
        <v>4</v>
      </c>
      <c r="H73" s="165">
        <v>8.1</v>
      </c>
      <c r="I73" s="166">
        <v>75.7</v>
      </c>
      <c r="J73" s="167">
        <f t="shared" si="34"/>
        <v>83.8</v>
      </c>
      <c r="K73" s="168">
        <f t="shared" si="47"/>
        <v>32.4</v>
      </c>
      <c r="L73" s="169">
        <f t="shared" si="48"/>
        <v>302.8</v>
      </c>
      <c r="M73" s="170">
        <f t="shared" si="49"/>
        <v>335.2</v>
      </c>
      <c r="N73" s="165">
        <f t="shared" si="53"/>
        <v>10.372859999999999</v>
      </c>
      <c r="O73" s="166">
        <f t="shared" si="53"/>
        <v>96.941419999999994</v>
      </c>
      <c r="P73" s="167">
        <f t="shared" si="36"/>
        <v>107.31</v>
      </c>
      <c r="Q73" s="168">
        <f t="shared" si="50"/>
        <v>41.491439999999997</v>
      </c>
      <c r="R73" s="169">
        <f t="shared" si="51"/>
        <v>387.76567999999997</v>
      </c>
      <c r="S73" s="169">
        <f t="shared" si="52"/>
        <v>429.25</v>
      </c>
      <c r="T73" s="161">
        <f t="shared" si="4"/>
        <v>2.7153702818401266E-4</v>
      </c>
    </row>
    <row r="74" spans="1:20" ht="30" customHeight="1" x14ac:dyDescent="0.25">
      <c r="A74" s="162"/>
      <c r="B74" s="162" t="s">
        <v>884</v>
      </c>
      <c r="C74" s="160" t="s">
        <v>894</v>
      </c>
      <c r="D74" s="171" t="s">
        <v>849</v>
      </c>
      <c r="E74" s="163" t="s">
        <v>895</v>
      </c>
      <c r="F74" s="160" t="s">
        <v>225</v>
      </c>
      <c r="G74" s="164">
        <v>4</v>
      </c>
      <c r="H74" s="165">
        <v>34.94</v>
      </c>
      <c r="I74" s="166">
        <v>57.68</v>
      </c>
      <c r="J74" s="167">
        <f t="shared" si="34"/>
        <v>92.62</v>
      </c>
      <c r="K74" s="168">
        <f t="shared" si="47"/>
        <v>139.76</v>
      </c>
      <c r="L74" s="169">
        <f t="shared" si="48"/>
        <v>230.72</v>
      </c>
      <c r="M74" s="170">
        <f t="shared" si="49"/>
        <v>370.48</v>
      </c>
      <c r="N74" s="165">
        <f t="shared" si="53"/>
        <v>44.744163999999998</v>
      </c>
      <c r="O74" s="166">
        <f t="shared" si="53"/>
        <v>73.865008000000003</v>
      </c>
      <c r="P74" s="167">
        <f t="shared" si="36"/>
        <v>118.6</v>
      </c>
      <c r="Q74" s="168">
        <f t="shared" si="50"/>
        <v>178.97665599999999</v>
      </c>
      <c r="R74" s="169">
        <f t="shared" si="51"/>
        <v>295.46003200000001</v>
      </c>
      <c r="S74" s="169">
        <f t="shared" si="52"/>
        <v>474.43</v>
      </c>
      <c r="T74" s="161">
        <f t="shared" si="4"/>
        <v>3.0011720974103934E-4</v>
      </c>
    </row>
    <row r="75" spans="1:20" ht="30" customHeight="1" x14ac:dyDescent="0.25">
      <c r="A75" s="162"/>
      <c r="B75" s="162" t="s">
        <v>885</v>
      </c>
      <c r="C75" s="160" t="s">
        <v>896</v>
      </c>
      <c r="D75" s="171" t="s">
        <v>849</v>
      </c>
      <c r="E75" s="163" t="s">
        <v>897</v>
      </c>
      <c r="F75" s="160" t="s">
        <v>225</v>
      </c>
      <c r="G75" s="164">
        <v>4</v>
      </c>
      <c r="H75" s="165">
        <v>34.94</v>
      </c>
      <c r="I75" s="166">
        <v>57.68</v>
      </c>
      <c r="J75" s="167">
        <f t="shared" si="34"/>
        <v>92.62</v>
      </c>
      <c r="K75" s="168">
        <f t="shared" si="47"/>
        <v>139.76</v>
      </c>
      <c r="L75" s="169">
        <f t="shared" si="48"/>
        <v>230.72</v>
      </c>
      <c r="M75" s="170">
        <f t="shared" si="49"/>
        <v>370.48</v>
      </c>
      <c r="N75" s="165">
        <f t="shared" si="53"/>
        <v>44.744163999999998</v>
      </c>
      <c r="O75" s="166">
        <f t="shared" si="53"/>
        <v>73.865008000000003</v>
      </c>
      <c r="P75" s="167">
        <f t="shared" si="36"/>
        <v>118.6</v>
      </c>
      <c r="Q75" s="168">
        <f t="shared" si="50"/>
        <v>178.97665599999999</v>
      </c>
      <c r="R75" s="169">
        <f t="shared" si="51"/>
        <v>295.46003200000001</v>
      </c>
      <c r="S75" s="169">
        <f t="shared" si="52"/>
        <v>474.43</v>
      </c>
      <c r="T75" s="161">
        <f t="shared" si="4"/>
        <v>3.0011720974103934E-4</v>
      </c>
    </row>
    <row r="76" spans="1:20" ht="30" customHeight="1" x14ac:dyDescent="0.25">
      <c r="A76" s="162"/>
      <c r="B76" s="162" t="s">
        <v>886</v>
      </c>
      <c r="C76" s="160" t="s">
        <v>898</v>
      </c>
      <c r="D76" s="171" t="s">
        <v>264</v>
      </c>
      <c r="E76" s="163" t="s">
        <v>899</v>
      </c>
      <c r="F76" s="160" t="s">
        <v>22</v>
      </c>
      <c r="G76" s="164">
        <v>152</v>
      </c>
      <c r="H76" s="165">
        <v>12.58</v>
      </c>
      <c r="I76" s="166">
        <v>17.32</v>
      </c>
      <c r="J76" s="167">
        <f t="shared" si="34"/>
        <v>29.9</v>
      </c>
      <c r="K76" s="168">
        <f t="shared" si="47"/>
        <v>1912.16</v>
      </c>
      <c r="L76" s="169">
        <f t="shared" si="48"/>
        <v>2632.64</v>
      </c>
      <c r="M76" s="170">
        <f t="shared" si="49"/>
        <v>4544.8</v>
      </c>
      <c r="N76" s="165">
        <f t="shared" si="53"/>
        <v>16.109947999999999</v>
      </c>
      <c r="O76" s="166">
        <f t="shared" si="53"/>
        <v>22.179991999999999</v>
      </c>
      <c r="P76" s="167">
        <f t="shared" si="36"/>
        <v>38.28</v>
      </c>
      <c r="Q76" s="168">
        <f t="shared" si="50"/>
        <v>2448.7120959999997</v>
      </c>
      <c r="R76" s="169">
        <f t="shared" si="51"/>
        <v>3371.358784</v>
      </c>
      <c r="S76" s="169">
        <f t="shared" si="52"/>
        <v>5820.07</v>
      </c>
      <c r="T76" s="161">
        <f t="shared" si="4"/>
        <v>3.6816878546835799E-3</v>
      </c>
    </row>
    <row r="77" spans="1:20" ht="30" customHeight="1" x14ac:dyDescent="0.25">
      <c r="A77" s="162"/>
      <c r="B77" s="162" t="s">
        <v>887</v>
      </c>
      <c r="C77" s="160" t="s">
        <v>900</v>
      </c>
      <c r="D77" s="171" t="s">
        <v>124</v>
      </c>
      <c r="E77" s="163" t="s">
        <v>901</v>
      </c>
      <c r="F77" s="160" t="s">
        <v>22</v>
      </c>
      <c r="G77" s="164">
        <v>16</v>
      </c>
      <c r="H77" s="165">
        <v>2.0699999999999998</v>
      </c>
      <c r="I77" s="166">
        <v>151.47</v>
      </c>
      <c r="J77" s="167">
        <f t="shared" si="34"/>
        <v>153.54</v>
      </c>
      <c r="K77" s="168">
        <f t="shared" si="47"/>
        <v>33.119999999999997</v>
      </c>
      <c r="L77" s="169">
        <f t="shared" si="48"/>
        <v>2423.52</v>
      </c>
      <c r="M77" s="170">
        <f t="shared" si="49"/>
        <v>2456.64</v>
      </c>
      <c r="N77" s="165">
        <f t="shared" si="53"/>
        <v>2.6508419999999999</v>
      </c>
      <c r="O77" s="166">
        <f t="shared" si="53"/>
        <v>193.97248199999999</v>
      </c>
      <c r="P77" s="167">
        <f t="shared" si="36"/>
        <v>196.62</v>
      </c>
      <c r="Q77" s="168">
        <f t="shared" si="50"/>
        <v>42.413471999999999</v>
      </c>
      <c r="R77" s="169">
        <f t="shared" si="51"/>
        <v>3103.5597119999998</v>
      </c>
      <c r="S77" s="169">
        <f t="shared" si="52"/>
        <v>3145.97</v>
      </c>
      <c r="T77" s="161">
        <f t="shared" si="4"/>
        <v>1.9900928236600075E-3</v>
      </c>
    </row>
    <row r="78" spans="1:20" ht="24.95" customHeight="1" x14ac:dyDescent="0.25">
      <c r="A78" s="162"/>
      <c r="B78" s="162" t="s">
        <v>888</v>
      </c>
      <c r="C78" s="160">
        <v>71184</v>
      </c>
      <c r="D78" s="171" t="s">
        <v>874</v>
      </c>
      <c r="E78" s="163" t="s">
        <v>903</v>
      </c>
      <c r="F78" s="160" t="s">
        <v>824</v>
      </c>
      <c r="G78" s="164">
        <v>32</v>
      </c>
      <c r="H78" s="165">
        <v>30.82</v>
      </c>
      <c r="I78" s="166">
        <v>117.03</v>
      </c>
      <c r="J78" s="167">
        <f t="shared" si="34"/>
        <v>147.85</v>
      </c>
      <c r="K78" s="168">
        <f t="shared" si="47"/>
        <v>986.24</v>
      </c>
      <c r="L78" s="169">
        <f t="shared" si="48"/>
        <v>3744.96</v>
      </c>
      <c r="M78" s="170">
        <f t="shared" si="49"/>
        <v>4731.2</v>
      </c>
      <c r="N78" s="165">
        <f t="shared" si="53"/>
        <v>39.468091999999999</v>
      </c>
      <c r="O78" s="166">
        <f t="shared" si="53"/>
        <v>149.868618</v>
      </c>
      <c r="P78" s="167">
        <f t="shared" si="36"/>
        <v>189.33</v>
      </c>
      <c r="Q78" s="168">
        <f t="shared" si="50"/>
        <v>1262.978944</v>
      </c>
      <c r="R78" s="169">
        <f t="shared" si="51"/>
        <v>4795.7957759999999</v>
      </c>
      <c r="S78" s="169">
        <f t="shared" si="52"/>
        <v>6058.77</v>
      </c>
      <c r="T78" s="161">
        <f t="shared" si="4"/>
        <v>3.8326858479917313E-3</v>
      </c>
    </row>
    <row r="79" spans="1:20" ht="30" customHeight="1" x14ac:dyDescent="0.25">
      <c r="A79" s="162"/>
      <c r="B79" s="162"/>
      <c r="C79" s="160"/>
      <c r="D79" s="171"/>
      <c r="E79" s="163"/>
      <c r="F79" s="160"/>
      <c r="G79" s="164"/>
      <c r="H79" s="165"/>
      <c r="I79" s="166"/>
      <c r="J79" s="167">
        <f t="shared" si="34"/>
        <v>0</v>
      </c>
      <c r="K79" s="168">
        <f t="shared" si="47"/>
        <v>0</v>
      </c>
      <c r="L79" s="169">
        <f t="shared" si="48"/>
        <v>0</v>
      </c>
      <c r="M79" s="170">
        <f t="shared" si="49"/>
        <v>0</v>
      </c>
      <c r="N79" s="165">
        <f t="shared" si="53"/>
        <v>0</v>
      </c>
      <c r="O79" s="166">
        <f t="shared" si="53"/>
        <v>0</v>
      </c>
      <c r="P79" s="167">
        <f t="shared" si="36"/>
        <v>0</v>
      </c>
      <c r="Q79" s="168">
        <f t="shared" si="50"/>
        <v>0</v>
      </c>
      <c r="R79" s="169">
        <f t="shared" si="51"/>
        <v>0</v>
      </c>
      <c r="S79" s="169">
        <f t="shared" si="52"/>
        <v>0</v>
      </c>
      <c r="T79" s="161">
        <f t="shared" si="4"/>
        <v>0</v>
      </c>
    </row>
    <row r="80" spans="1:20" ht="30" customHeight="1" x14ac:dyDescent="0.25">
      <c r="A80" s="162"/>
      <c r="B80" s="326">
        <v>9</v>
      </c>
      <c r="C80" s="327"/>
      <c r="D80" s="327"/>
      <c r="E80" s="328" t="s">
        <v>1119</v>
      </c>
      <c r="F80" s="329"/>
      <c r="G80" s="330"/>
      <c r="H80" s="331"/>
      <c r="I80" s="329"/>
      <c r="J80" s="332">
        <f t="shared" si="34"/>
        <v>0</v>
      </c>
      <c r="K80" s="337">
        <f>SUM(K81:K101)</f>
        <v>9080.7680000000018</v>
      </c>
      <c r="L80" s="337">
        <f>SUM(L81:L101)</f>
        <v>30471.431999999997</v>
      </c>
      <c r="M80" s="337">
        <f>SUM(M81:M101)</f>
        <v>39552.19</v>
      </c>
      <c r="N80" s="353">
        <f t="shared" si="53"/>
        <v>0</v>
      </c>
      <c r="O80" s="354">
        <f t="shared" si="53"/>
        <v>0</v>
      </c>
      <c r="P80" s="355">
        <f t="shared" si="36"/>
        <v>0</v>
      </c>
      <c r="Q80" s="337">
        <f>SUM(Q81:Q101)</f>
        <v>11628.831500800001</v>
      </c>
      <c r="R80" s="337">
        <f>SUM(R81:R101)</f>
        <v>39021.715819199992</v>
      </c>
      <c r="S80" s="337">
        <f>SUM(S81:S101)</f>
        <v>50650.430000000008</v>
      </c>
      <c r="T80" s="333">
        <f t="shared" ref="T80:T143" si="59">+S80/$S$198</f>
        <v>3.2040692459970564E-2</v>
      </c>
    </row>
    <row r="81" spans="1:20" ht="30" customHeight="1" x14ac:dyDescent="0.25">
      <c r="A81" s="162"/>
      <c r="B81" s="162" t="s">
        <v>904</v>
      </c>
      <c r="C81" s="160" t="s">
        <v>915</v>
      </c>
      <c r="D81" s="171" t="s">
        <v>124</v>
      </c>
      <c r="E81" s="163" t="s">
        <v>916</v>
      </c>
      <c r="F81" s="160" t="s">
        <v>35</v>
      </c>
      <c r="G81" s="164">
        <v>203.8</v>
      </c>
      <c r="H81" s="165">
        <v>14.53</v>
      </c>
      <c r="I81" s="166">
        <v>38.159999999999997</v>
      </c>
      <c r="J81" s="167">
        <f t="shared" si="34"/>
        <v>52.69</v>
      </c>
      <c r="K81" s="168">
        <f>+H81*G81</f>
        <v>2961.2139999999999</v>
      </c>
      <c r="L81" s="169">
        <f>+I81*G81</f>
        <v>7777.0079999999998</v>
      </c>
      <c r="M81" s="170">
        <f t="shared" ref="M81:M102" si="60">TRUNC(SUM(K81:L81),2)</f>
        <v>10738.22</v>
      </c>
      <c r="N81" s="165">
        <f t="shared" si="53"/>
        <v>18.607118</v>
      </c>
      <c r="O81" s="166">
        <f t="shared" si="53"/>
        <v>48.867695999999995</v>
      </c>
      <c r="P81" s="167">
        <f t="shared" si="36"/>
        <v>67.47</v>
      </c>
      <c r="Q81" s="168">
        <f t="shared" si="37"/>
        <v>3792.1306484000002</v>
      </c>
      <c r="R81" s="169">
        <f t="shared" si="38"/>
        <v>9959.2364447999989</v>
      </c>
      <c r="S81" s="169">
        <f t="shared" si="39"/>
        <v>13751.36</v>
      </c>
      <c r="T81" s="161">
        <f t="shared" si="59"/>
        <v>8.6989014045160268E-3</v>
      </c>
    </row>
    <row r="82" spans="1:20" ht="30" customHeight="1" x14ac:dyDescent="0.25">
      <c r="A82" s="162"/>
      <c r="B82" s="162" t="s">
        <v>905</v>
      </c>
      <c r="C82" s="160">
        <v>60107</v>
      </c>
      <c r="D82" s="171" t="s">
        <v>212</v>
      </c>
      <c r="E82" s="163" t="s">
        <v>739</v>
      </c>
      <c r="F82" s="160" t="s">
        <v>35</v>
      </c>
      <c r="G82" s="164">
        <v>40.9</v>
      </c>
      <c r="H82" s="165">
        <v>14.83</v>
      </c>
      <c r="I82" s="166">
        <v>33.25</v>
      </c>
      <c r="J82" s="167">
        <f t="shared" si="34"/>
        <v>48.08</v>
      </c>
      <c r="K82" s="168">
        <f t="shared" ref="K82:K102" si="61">+H82*G82</f>
        <v>606.54700000000003</v>
      </c>
      <c r="L82" s="169">
        <f t="shared" ref="L82:L102" si="62">+I82*G82</f>
        <v>1359.925</v>
      </c>
      <c r="M82" s="170">
        <f t="shared" si="60"/>
        <v>1966.47</v>
      </c>
      <c r="N82" s="165">
        <f t="shared" si="53"/>
        <v>18.991298</v>
      </c>
      <c r="O82" s="166">
        <f t="shared" si="53"/>
        <v>42.579949999999997</v>
      </c>
      <c r="P82" s="167">
        <f t="shared" ref="P82:P102" si="63">TRUNC(SUM(N82:O82),2)</f>
        <v>61.57</v>
      </c>
      <c r="Q82" s="168">
        <f t="shared" si="37"/>
        <v>776.74408819999996</v>
      </c>
      <c r="R82" s="169">
        <f t="shared" si="38"/>
        <v>1741.5199549999998</v>
      </c>
      <c r="S82" s="169">
        <f t="shared" si="39"/>
        <v>2518.2600000000002</v>
      </c>
      <c r="T82" s="161">
        <f t="shared" si="59"/>
        <v>1.5930130147808312E-3</v>
      </c>
    </row>
    <row r="83" spans="1:20" ht="30" customHeight="1" x14ac:dyDescent="0.25">
      <c r="A83" s="162"/>
      <c r="B83" s="162" t="s">
        <v>906</v>
      </c>
      <c r="C83" s="160">
        <v>63583</v>
      </c>
      <c r="D83" s="171" t="s">
        <v>212</v>
      </c>
      <c r="E83" s="163" t="s">
        <v>749</v>
      </c>
      <c r="F83" s="160" t="s">
        <v>22</v>
      </c>
      <c r="G83" s="164">
        <v>183</v>
      </c>
      <c r="H83" s="165">
        <v>0.67</v>
      </c>
      <c r="I83" s="166">
        <v>4.3899999999999997</v>
      </c>
      <c r="J83" s="167">
        <f t="shared" si="34"/>
        <v>5.0599999999999996</v>
      </c>
      <c r="K83" s="168">
        <f t="shared" si="61"/>
        <v>122.61000000000001</v>
      </c>
      <c r="L83" s="169">
        <f t="shared" si="62"/>
        <v>803.36999999999989</v>
      </c>
      <c r="M83" s="170">
        <f t="shared" si="60"/>
        <v>925.98</v>
      </c>
      <c r="N83" s="165">
        <f t="shared" si="53"/>
        <v>0.85800200000000004</v>
      </c>
      <c r="O83" s="166">
        <f t="shared" si="53"/>
        <v>5.6218339999999998</v>
      </c>
      <c r="P83" s="167">
        <f t="shared" si="63"/>
        <v>6.47</v>
      </c>
      <c r="Q83" s="168">
        <f t="shared" si="37"/>
        <v>157.014366</v>
      </c>
      <c r="R83" s="169">
        <f t="shared" si="38"/>
        <v>1028.7956219999999</v>
      </c>
      <c r="S83" s="169">
        <f t="shared" si="39"/>
        <v>1185.8</v>
      </c>
      <c r="T83" s="161">
        <f t="shared" si="59"/>
        <v>7.5011906353081477E-4</v>
      </c>
    </row>
    <row r="84" spans="1:20" ht="30" customHeight="1" x14ac:dyDescent="0.25">
      <c r="A84" s="162"/>
      <c r="B84" s="162" t="s">
        <v>907</v>
      </c>
      <c r="C84" s="160" t="s">
        <v>918</v>
      </c>
      <c r="D84" s="171" t="s">
        <v>124</v>
      </c>
      <c r="E84" s="163" t="s">
        <v>919</v>
      </c>
      <c r="F84" s="160" t="s">
        <v>22</v>
      </c>
      <c r="G84" s="164">
        <v>86</v>
      </c>
      <c r="H84" s="165">
        <v>2.95</v>
      </c>
      <c r="I84" s="166">
        <v>39.01</v>
      </c>
      <c r="J84" s="167">
        <f t="shared" si="34"/>
        <v>41.96</v>
      </c>
      <c r="K84" s="168">
        <f t="shared" si="61"/>
        <v>253.70000000000002</v>
      </c>
      <c r="L84" s="169">
        <f t="shared" si="62"/>
        <v>3354.8599999999997</v>
      </c>
      <c r="M84" s="170">
        <f t="shared" si="60"/>
        <v>3608.56</v>
      </c>
      <c r="N84" s="165">
        <f t="shared" si="53"/>
        <v>3.7777700000000003</v>
      </c>
      <c r="O84" s="166">
        <f t="shared" si="53"/>
        <v>49.956205999999995</v>
      </c>
      <c r="P84" s="167">
        <f t="shared" si="63"/>
        <v>53.73</v>
      </c>
      <c r="Q84" s="168">
        <f t="shared" si="37"/>
        <v>324.88822000000005</v>
      </c>
      <c r="R84" s="169">
        <f t="shared" si="38"/>
        <v>4296.2337159999997</v>
      </c>
      <c r="S84" s="169">
        <f t="shared" si="39"/>
        <v>4621.12</v>
      </c>
      <c r="T84" s="161">
        <f t="shared" si="59"/>
        <v>2.9232503009474775E-3</v>
      </c>
    </row>
    <row r="85" spans="1:20" ht="30" customHeight="1" x14ac:dyDescent="0.25">
      <c r="A85" s="162"/>
      <c r="B85" s="162" t="s">
        <v>908</v>
      </c>
      <c r="C85" s="160" t="s">
        <v>748</v>
      </c>
      <c r="D85" s="171" t="s">
        <v>124</v>
      </c>
      <c r="E85" s="163" t="s">
        <v>493</v>
      </c>
      <c r="F85" s="160" t="s">
        <v>225</v>
      </c>
      <c r="G85" s="164">
        <v>132</v>
      </c>
      <c r="H85" s="165">
        <v>2.95</v>
      </c>
      <c r="I85" s="166">
        <v>3.07</v>
      </c>
      <c r="J85" s="167">
        <f t="shared" si="34"/>
        <v>6.02</v>
      </c>
      <c r="K85" s="168">
        <f t="shared" si="61"/>
        <v>389.40000000000003</v>
      </c>
      <c r="L85" s="169">
        <f t="shared" si="62"/>
        <v>405.23999999999995</v>
      </c>
      <c r="M85" s="170">
        <f t="shared" si="60"/>
        <v>794.64</v>
      </c>
      <c r="N85" s="165">
        <f t="shared" si="53"/>
        <v>3.7777700000000003</v>
      </c>
      <c r="O85" s="166">
        <f t="shared" si="53"/>
        <v>3.9314419999999997</v>
      </c>
      <c r="P85" s="167">
        <f t="shared" si="63"/>
        <v>7.7</v>
      </c>
      <c r="Q85" s="168">
        <f t="shared" si="37"/>
        <v>498.66564000000005</v>
      </c>
      <c r="R85" s="169">
        <f t="shared" si="38"/>
        <v>518.95034399999997</v>
      </c>
      <c r="S85" s="169">
        <f t="shared" si="39"/>
        <v>1017.61</v>
      </c>
      <c r="T85" s="161">
        <f t="shared" si="59"/>
        <v>6.4372462492797474E-4</v>
      </c>
    </row>
    <row r="86" spans="1:20" ht="30" customHeight="1" x14ac:dyDescent="0.25">
      <c r="A86" s="162"/>
      <c r="B86" s="162" t="s">
        <v>909</v>
      </c>
      <c r="C86" s="160" t="s">
        <v>920</v>
      </c>
      <c r="D86" s="171" t="s">
        <v>124</v>
      </c>
      <c r="E86" s="163" t="s">
        <v>921</v>
      </c>
      <c r="F86" s="160" t="s">
        <v>225</v>
      </c>
      <c r="G86" s="164">
        <v>30</v>
      </c>
      <c r="H86" s="165">
        <v>2.86</v>
      </c>
      <c r="I86" s="166">
        <v>2.33</v>
      </c>
      <c r="J86" s="167">
        <f t="shared" si="34"/>
        <v>5.19</v>
      </c>
      <c r="K86" s="168">
        <f t="shared" si="61"/>
        <v>85.8</v>
      </c>
      <c r="L86" s="169">
        <f t="shared" si="62"/>
        <v>69.900000000000006</v>
      </c>
      <c r="M86" s="170">
        <f t="shared" si="60"/>
        <v>155.69999999999999</v>
      </c>
      <c r="N86" s="165">
        <f t="shared" si="53"/>
        <v>3.6625159999999997</v>
      </c>
      <c r="O86" s="166">
        <f t="shared" si="53"/>
        <v>2.9837980000000002</v>
      </c>
      <c r="P86" s="167">
        <f t="shared" si="63"/>
        <v>6.64</v>
      </c>
      <c r="Q86" s="168">
        <f t="shared" si="37"/>
        <v>109.87548</v>
      </c>
      <c r="R86" s="169">
        <f t="shared" si="38"/>
        <v>89.513940000000005</v>
      </c>
      <c r="S86" s="169">
        <f t="shared" si="39"/>
        <v>199.38</v>
      </c>
      <c r="T86" s="161">
        <f t="shared" si="59"/>
        <v>1.2612475871713092E-4</v>
      </c>
    </row>
    <row r="87" spans="1:20" ht="30" customHeight="1" x14ac:dyDescent="0.25">
      <c r="A87" s="162"/>
      <c r="B87" s="162" t="s">
        <v>910</v>
      </c>
      <c r="C87" s="160" t="s">
        <v>1352</v>
      </c>
      <c r="D87" s="171" t="s">
        <v>124</v>
      </c>
      <c r="E87" s="163" t="s">
        <v>302</v>
      </c>
      <c r="F87" s="160" t="s">
        <v>35</v>
      </c>
      <c r="G87" s="164">
        <v>117.3</v>
      </c>
      <c r="H87" s="165">
        <v>26.53</v>
      </c>
      <c r="I87" s="166">
        <v>22.71</v>
      </c>
      <c r="J87" s="167">
        <f t="shared" si="34"/>
        <v>49.24</v>
      </c>
      <c r="K87" s="168">
        <f t="shared" si="61"/>
        <v>3111.9690000000001</v>
      </c>
      <c r="L87" s="169">
        <f t="shared" si="62"/>
        <v>2663.8829999999998</v>
      </c>
      <c r="M87" s="170">
        <f t="shared" si="60"/>
        <v>5775.85</v>
      </c>
      <c r="N87" s="165">
        <f t="shared" si="53"/>
        <v>33.974318000000004</v>
      </c>
      <c r="O87" s="166">
        <f t="shared" si="53"/>
        <v>29.082426000000002</v>
      </c>
      <c r="P87" s="167">
        <f t="shared" si="63"/>
        <v>63.05</v>
      </c>
      <c r="Q87" s="168">
        <f t="shared" si="37"/>
        <v>3985.1875014000002</v>
      </c>
      <c r="R87" s="169">
        <f t="shared" si="38"/>
        <v>3411.3685697999999</v>
      </c>
      <c r="S87" s="169">
        <f t="shared" si="39"/>
        <v>7396.55</v>
      </c>
      <c r="T87" s="161">
        <f t="shared" si="59"/>
        <v>4.6789451504122516E-3</v>
      </c>
    </row>
    <row r="88" spans="1:20" ht="30" customHeight="1" x14ac:dyDescent="0.25">
      <c r="A88" s="162"/>
      <c r="B88" s="162" t="s">
        <v>911</v>
      </c>
      <c r="C88" s="160">
        <v>9526</v>
      </c>
      <c r="D88" s="171" t="s">
        <v>175</v>
      </c>
      <c r="E88" s="163" t="s">
        <v>923</v>
      </c>
      <c r="F88" s="160" t="s">
        <v>225</v>
      </c>
      <c r="G88" s="164">
        <v>49</v>
      </c>
      <c r="H88" s="165">
        <v>5.6</v>
      </c>
      <c r="I88" s="166">
        <v>6.32</v>
      </c>
      <c r="J88" s="167">
        <f t="shared" si="34"/>
        <v>11.92</v>
      </c>
      <c r="K88" s="168">
        <f t="shared" si="61"/>
        <v>274.39999999999998</v>
      </c>
      <c r="L88" s="169">
        <f t="shared" si="62"/>
        <v>309.68</v>
      </c>
      <c r="M88" s="170">
        <f t="shared" si="60"/>
        <v>584.08000000000004</v>
      </c>
      <c r="N88" s="165">
        <f t="shared" si="53"/>
        <v>7.1713599999999991</v>
      </c>
      <c r="O88" s="166">
        <f t="shared" si="53"/>
        <v>8.0933919999999997</v>
      </c>
      <c r="P88" s="167">
        <f t="shared" si="63"/>
        <v>15.26</v>
      </c>
      <c r="Q88" s="168">
        <f t="shared" si="37"/>
        <v>351.39663999999993</v>
      </c>
      <c r="R88" s="169">
        <f t="shared" si="38"/>
        <v>396.57620800000001</v>
      </c>
      <c r="S88" s="169">
        <f t="shared" si="39"/>
        <v>747.97</v>
      </c>
      <c r="T88" s="161">
        <f t="shared" si="59"/>
        <v>4.7315445770715429E-4</v>
      </c>
    </row>
    <row r="89" spans="1:20" ht="30" customHeight="1" x14ac:dyDescent="0.25">
      <c r="A89" s="326"/>
      <c r="B89" s="162" t="s">
        <v>912</v>
      </c>
      <c r="C89" s="160" t="s">
        <v>747</v>
      </c>
      <c r="D89" s="171" t="s">
        <v>124</v>
      </c>
      <c r="E89" s="163" t="s">
        <v>443</v>
      </c>
      <c r="F89" s="160" t="s">
        <v>22</v>
      </c>
      <c r="G89" s="164">
        <v>1</v>
      </c>
      <c r="H89" s="165">
        <v>2.95</v>
      </c>
      <c r="I89" s="166">
        <v>2.34</v>
      </c>
      <c r="J89" s="167">
        <f t="shared" si="34"/>
        <v>5.29</v>
      </c>
      <c r="K89" s="168">
        <f t="shared" si="61"/>
        <v>2.95</v>
      </c>
      <c r="L89" s="169">
        <f t="shared" si="62"/>
        <v>2.34</v>
      </c>
      <c r="M89" s="170">
        <f t="shared" si="60"/>
        <v>5.29</v>
      </c>
      <c r="N89" s="165">
        <f t="shared" si="53"/>
        <v>3.7777700000000003</v>
      </c>
      <c r="O89" s="166">
        <f t="shared" si="53"/>
        <v>2.9966039999999996</v>
      </c>
      <c r="P89" s="167">
        <f t="shared" si="63"/>
        <v>6.77</v>
      </c>
      <c r="Q89" s="168">
        <f t="shared" si="37"/>
        <v>3.7777700000000003</v>
      </c>
      <c r="R89" s="169">
        <f t="shared" si="38"/>
        <v>2.9966039999999996</v>
      </c>
      <c r="S89" s="169">
        <f t="shared" si="39"/>
        <v>6.77</v>
      </c>
      <c r="T89" s="161">
        <f t="shared" si="59"/>
        <v>4.2825991399085977E-6</v>
      </c>
    </row>
    <row r="90" spans="1:20" ht="30" customHeight="1" x14ac:dyDescent="0.25">
      <c r="A90" s="162"/>
      <c r="B90" s="162" t="s">
        <v>913</v>
      </c>
      <c r="C90" s="160" t="s">
        <v>841</v>
      </c>
      <c r="D90" s="171" t="s">
        <v>842</v>
      </c>
      <c r="E90" s="163" t="s">
        <v>843</v>
      </c>
      <c r="F90" s="160" t="s">
        <v>22</v>
      </c>
      <c r="G90" s="164">
        <v>29</v>
      </c>
      <c r="H90" s="165">
        <v>4.88</v>
      </c>
      <c r="I90" s="166">
        <v>5.29</v>
      </c>
      <c r="J90" s="167">
        <f t="shared" si="34"/>
        <v>10.17</v>
      </c>
      <c r="K90" s="168">
        <f t="shared" si="61"/>
        <v>141.52000000000001</v>
      </c>
      <c r="L90" s="169">
        <f t="shared" si="62"/>
        <v>153.41</v>
      </c>
      <c r="M90" s="170">
        <f t="shared" si="60"/>
        <v>294.93</v>
      </c>
      <c r="N90" s="165">
        <f t="shared" si="53"/>
        <v>6.2493279999999993</v>
      </c>
      <c r="O90" s="166">
        <f t="shared" si="53"/>
        <v>6.7743739999999999</v>
      </c>
      <c r="P90" s="167">
        <f t="shared" si="63"/>
        <v>13.02</v>
      </c>
      <c r="Q90" s="168">
        <f t="shared" si="37"/>
        <v>181.23051199999998</v>
      </c>
      <c r="R90" s="169">
        <f t="shared" si="38"/>
        <v>196.45684599999998</v>
      </c>
      <c r="S90" s="169">
        <f t="shared" si="39"/>
        <v>377.68</v>
      </c>
      <c r="T90" s="161">
        <f t="shared" si="59"/>
        <v>2.3891462971354201E-4</v>
      </c>
    </row>
    <row r="91" spans="1:20" ht="30" customHeight="1" x14ac:dyDescent="0.25">
      <c r="A91" s="162"/>
      <c r="B91" s="162" t="s">
        <v>1228</v>
      </c>
      <c r="C91" s="160">
        <v>62571</v>
      </c>
      <c r="D91" s="171" t="s">
        <v>212</v>
      </c>
      <c r="E91" s="163" t="s">
        <v>1238</v>
      </c>
      <c r="F91" s="160" t="s">
        <v>22</v>
      </c>
      <c r="G91" s="164">
        <v>72</v>
      </c>
      <c r="H91" s="165">
        <v>4.4400000000000004</v>
      </c>
      <c r="I91" s="166">
        <v>5.61</v>
      </c>
      <c r="J91" s="167">
        <f t="shared" si="34"/>
        <v>10.050000000000001</v>
      </c>
      <c r="K91" s="168">
        <f t="shared" si="61"/>
        <v>319.68</v>
      </c>
      <c r="L91" s="169">
        <f t="shared" si="62"/>
        <v>403.92</v>
      </c>
      <c r="M91" s="170">
        <f t="shared" si="60"/>
        <v>723.6</v>
      </c>
      <c r="N91" s="165">
        <f t="shared" si="53"/>
        <v>5.6858640000000005</v>
      </c>
      <c r="O91" s="166">
        <f t="shared" si="53"/>
        <v>7.1841660000000003</v>
      </c>
      <c r="P91" s="167">
        <f t="shared" si="63"/>
        <v>12.87</v>
      </c>
      <c r="Q91" s="168">
        <f t="shared" si="37"/>
        <v>409.38220800000005</v>
      </c>
      <c r="R91" s="169">
        <f t="shared" si="38"/>
        <v>517.259952</v>
      </c>
      <c r="S91" s="169">
        <f t="shared" si="39"/>
        <v>926.64</v>
      </c>
      <c r="T91" s="161">
        <f t="shared" si="59"/>
        <v>5.8617838508196504E-4</v>
      </c>
    </row>
    <row r="92" spans="1:20" ht="30" customHeight="1" x14ac:dyDescent="0.25">
      <c r="A92" s="162"/>
      <c r="B92" s="162" t="s">
        <v>1229</v>
      </c>
      <c r="C92" s="160" t="s">
        <v>1239</v>
      </c>
      <c r="D92" s="171" t="s">
        <v>124</v>
      </c>
      <c r="E92" s="163" t="s">
        <v>1240</v>
      </c>
      <c r="F92" s="160" t="s">
        <v>22</v>
      </c>
      <c r="G92" s="164">
        <v>5</v>
      </c>
      <c r="H92" s="165">
        <v>15.09</v>
      </c>
      <c r="I92" s="166">
        <v>24.75</v>
      </c>
      <c r="J92" s="167">
        <f t="shared" si="34"/>
        <v>39.840000000000003</v>
      </c>
      <c r="K92" s="168">
        <f t="shared" si="61"/>
        <v>75.45</v>
      </c>
      <c r="L92" s="169">
        <f t="shared" si="62"/>
        <v>123.75</v>
      </c>
      <c r="M92" s="170">
        <f t="shared" si="60"/>
        <v>199.2</v>
      </c>
      <c r="N92" s="165">
        <f t="shared" si="53"/>
        <v>19.324254</v>
      </c>
      <c r="O92" s="166">
        <f t="shared" si="53"/>
        <v>31.694849999999999</v>
      </c>
      <c r="P92" s="167">
        <f t="shared" si="63"/>
        <v>51.01</v>
      </c>
      <c r="Q92" s="168">
        <f t="shared" si="37"/>
        <v>96.621269999999996</v>
      </c>
      <c r="R92" s="169">
        <f t="shared" si="38"/>
        <v>158.47424999999998</v>
      </c>
      <c r="S92" s="169">
        <f t="shared" si="39"/>
        <v>255.09</v>
      </c>
      <c r="T92" s="161">
        <f t="shared" si="59"/>
        <v>1.6136605828645265E-4</v>
      </c>
    </row>
    <row r="93" spans="1:20" ht="30" customHeight="1" x14ac:dyDescent="0.25">
      <c r="A93" s="162"/>
      <c r="B93" s="162" t="s">
        <v>1230</v>
      </c>
      <c r="C93" s="160" t="s">
        <v>1241</v>
      </c>
      <c r="D93" s="171" t="s">
        <v>124</v>
      </c>
      <c r="E93" s="163" t="s">
        <v>1242</v>
      </c>
      <c r="F93" s="160" t="s">
        <v>22</v>
      </c>
      <c r="G93" s="164">
        <v>2</v>
      </c>
      <c r="H93" s="165">
        <v>15.09</v>
      </c>
      <c r="I93" s="166">
        <v>20.170000000000002</v>
      </c>
      <c r="J93" s="167">
        <f t="shared" si="34"/>
        <v>35.26</v>
      </c>
      <c r="K93" s="168">
        <f t="shared" si="61"/>
        <v>30.18</v>
      </c>
      <c r="L93" s="169">
        <f t="shared" si="62"/>
        <v>40.340000000000003</v>
      </c>
      <c r="M93" s="170">
        <f t="shared" si="60"/>
        <v>70.52</v>
      </c>
      <c r="N93" s="165">
        <f t="shared" si="53"/>
        <v>19.324254</v>
      </c>
      <c r="O93" s="166">
        <f t="shared" si="53"/>
        <v>25.829702000000001</v>
      </c>
      <c r="P93" s="167">
        <f t="shared" si="63"/>
        <v>45.15</v>
      </c>
      <c r="Q93" s="168">
        <f t="shared" si="37"/>
        <v>38.648508</v>
      </c>
      <c r="R93" s="169">
        <f t="shared" si="38"/>
        <v>51.659404000000002</v>
      </c>
      <c r="S93" s="169">
        <f t="shared" si="39"/>
        <v>90.3</v>
      </c>
      <c r="T93" s="161">
        <f t="shared" si="59"/>
        <v>5.7122408025664166E-5</v>
      </c>
    </row>
    <row r="94" spans="1:20" ht="30" customHeight="1" x14ac:dyDescent="0.25">
      <c r="A94" s="162"/>
      <c r="B94" s="162" t="s">
        <v>914</v>
      </c>
      <c r="C94" s="160">
        <v>8688</v>
      </c>
      <c r="D94" s="171" t="s">
        <v>175</v>
      </c>
      <c r="E94" s="163" t="s">
        <v>1244</v>
      </c>
      <c r="F94" s="160" t="s">
        <v>225</v>
      </c>
      <c r="G94" s="164">
        <v>2</v>
      </c>
      <c r="H94" s="165">
        <v>5.6</v>
      </c>
      <c r="I94" s="166">
        <v>24.97</v>
      </c>
      <c r="J94" s="167">
        <f t="shared" si="34"/>
        <v>30.57</v>
      </c>
      <c r="K94" s="168">
        <f t="shared" si="61"/>
        <v>11.2</v>
      </c>
      <c r="L94" s="169">
        <f t="shared" si="62"/>
        <v>49.94</v>
      </c>
      <c r="M94" s="170">
        <f t="shared" si="60"/>
        <v>61.14</v>
      </c>
      <c r="N94" s="165">
        <f t="shared" si="53"/>
        <v>7.1713599999999991</v>
      </c>
      <c r="O94" s="166">
        <f t="shared" si="53"/>
        <v>31.976581999999997</v>
      </c>
      <c r="P94" s="167">
        <f t="shared" si="63"/>
        <v>39.14</v>
      </c>
      <c r="Q94" s="168">
        <f t="shared" si="37"/>
        <v>14.342719999999998</v>
      </c>
      <c r="R94" s="169">
        <f t="shared" si="38"/>
        <v>63.953163999999994</v>
      </c>
      <c r="S94" s="169">
        <f t="shared" si="39"/>
        <v>78.290000000000006</v>
      </c>
      <c r="T94" s="161">
        <f t="shared" si="59"/>
        <v>4.9525064499770187E-5</v>
      </c>
    </row>
    <row r="95" spans="1:20" ht="30" customHeight="1" x14ac:dyDescent="0.25">
      <c r="A95" s="162"/>
      <c r="B95" s="162" t="s">
        <v>1231</v>
      </c>
      <c r="C95" s="160" t="s">
        <v>1245</v>
      </c>
      <c r="D95" s="171" t="s">
        <v>124</v>
      </c>
      <c r="E95" s="163" t="s">
        <v>1246</v>
      </c>
      <c r="F95" s="160" t="s">
        <v>22</v>
      </c>
      <c r="G95" s="164">
        <v>4</v>
      </c>
      <c r="H95" s="165">
        <v>15.23</v>
      </c>
      <c r="I95" s="166">
        <v>81.96</v>
      </c>
      <c r="J95" s="167">
        <f t="shared" si="34"/>
        <v>97.19</v>
      </c>
      <c r="K95" s="168">
        <f t="shared" si="61"/>
        <v>60.92</v>
      </c>
      <c r="L95" s="169">
        <f t="shared" si="62"/>
        <v>327.84</v>
      </c>
      <c r="M95" s="170">
        <f t="shared" si="60"/>
        <v>388.76</v>
      </c>
      <c r="N95" s="165">
        <f t="shared" si="53"/>
        <v>19.503537999999999</v>
      </c>
      <c r="O95" s="166">
        <f t="shared" si="53"/>
        <v>104.95797599999999</v>
      </c>
      <c r="P95" s="167">
        <f t="shared" si="63"/>
        <v>124.46</v>
      </c>
      <c r="Q95" s="168">
        <f t="shared" si="37"/>
        <v>78.014151999999996</v>
      </c>
      <c r="R95" s="169">
        <f t="shared" si="38"/>
        <v>419.83190399999995</v>
      </c>
      <c r="S95" s="169">
        <f t="shared" si="39"/>
        <v>497.84</v>
      </c>
      <c r="T95" s="161">
        <f t="shared" si="59"/>
        <v>3.1492602006087097E-4</v>
      </c>
    </row>
    <row r="96" spans="1:20" ht="30" customHeight="1" x14ac:dyDescent="0.25">
      <c r="A96" s="162"/>
      <c r="B96" s="162" t="s">
        <v>1232</v>
      </c>
      <c r="C96" s="160">
        <v>62576</v>
      </c>
      <c r="D96" s="171" t="s">
        <v>212</v>
      </c>
      <c r="E96" s="163" t="s">
        <v>1248</v>
      </c>
      <c r="F96" s="160" t="s">
        <v>22</v>
      </c>
      <c r="G96" s="164">
        <v>1</v>
      </c>
      <c r="H96" s="165">
        <v>15.55</v>
      </c>
      <c r="I96" s="166">
        <v>37.56</v>
      </c>
      <c r="J96" s="167">
        <f t="shared" si="34"/>
        <v>53.11</v>
      </c>
      <c r="K96" s="168">
        <f t="shared" si="61"/>
        <v>15.55</v>
      </c>
      <c r="L96" s="169">
        <f t="shared" si="62"/>
        <v>37.56</v>
      </c>
      <c r="M96" s="170">
        <f t="shared" si="60"/>
        <v>53.11</v>
      </c>
      <c r="N96" s="165">
        <f t="shared" si="53"/>
        <v>19.913330000000002</v>
      </c>
      <c r="O96" s="166">
        <f t="shared" si="53"/>
        <v>48.099336000000001</v>
      </c>
      <c r="P96" s="167">
        <f t="shared" si="63"/>
        <v>68.010000000000005</v>
      </c>
      <c r="Q96" s="168">
        <f t="shared" si="37"/>
        <v>19.913330000000002</v>
      </c>
      <c r="R96" s="169">
        <f t="shared" si="38"/>
        <v>48.099336000000001</v>
      </c>
      <c r="S96" s="169">
        <f t="shared" si="39"/>
        <v>68.010000000000005</v>
      </c>
      <c r="T96" s="161">
        <f t="shared" si="59"/>
        <v>4.3022092689096574E-5</v>
      </c>
    </row>
    <row r="97" spans="1:20" ht="30" customHeight="1" x14ac:dyDescent="0.25">
      <c r="A97" s="162"/>
      <c r="B97" s="162" t="s">
        <v>1233</v>
      </c>
      <c r="C97" s="160">
        <v>12616</v>
      </c>
      <c r="D97" s="171" t="s">
        <v>175</v>
      </c>
      <c r="E97" s="163" t="s">
        <v>1250</v>
      </c>
      <c r="F97" s="160" t="s">
        <v>225</v>
      </c>
      <c r="G97" s="164">
        <v>6</v>
      </c>
      <c r="H97" s="165">
        <v>5.6</v>
      </c>
      <c r="I97" s="166">
        <v>11.42</v>
      </c>
      <c r="J97" s="167">
        <f t="shared" si="34"/>
        <v>17.02</v>
      </c>
      <c r="K97" s="168">
        <f t="shared" si="61"/>
        <v>33.599999999999994</v>
      </c>
      <c r="L97" s="169">
        <f t="shared" si="62"/>
        <v>68.52</v>
      </c>
      <c r="M97" s="170">
        <f t="shared" si="60"/>
        <v>102.12</v>
      </c>
      <c r="N97" s="165">
        <f t="shared" si="53"/>
        <v>7.1713599999999991</v>
      </c>
      <c r="O97" s="166">
        <f t="shared" si="53"/>
        <v>14.624452</v>
      </c>
      <c r="P97" s="167">
        <f t="shared" si="63"/>
        <v>21.79</v>
      </c>
      <c r="Q97" s="168">
        <f t="shared" si="37"/>
        <v>43.028159999999993</v>
      </c>
      <c r="R97" s="169">
        <f t="shared" si="38"/>
        <v>87.746712000000002</v>
      </c>
      <c r="S97" s="169">
        <f t="shared" si="39"/>
        <v>130.77000000000001</v>
      </c>
      <c r="T97" s="161">
        <f t="shared" si="59"/>
        <v>8.2723115144142905E-5</v>
      </c>
    </row>
    <row r="98" spans="1:20" ht="30" customHeight="1" x14ac:dyDescent="0.25">
      <c r="A98" s="162"/>
      <c r="B98" s="162" t="s">
        <v>1362</v>
      </c>
      <c r="C98" s="160" t="s">
        <v>1208</v>
      </c>
      <c r="D98" s="171" t="s">
        <v>264</v>
      </c>
      <c r="E98" s="163" t="s">
        <v>1209</v>
      </c>
      <c r="F98" s="160" t="s">
        <v>35</v>
      </c>
      <c r="G98" s="164">
        <v>245.2</v>
      </c>
      <c r="H98" s="165">
        <v>2.09</v>
      </c>
      <c r="I98" s="166">
        <v>50.58</v>
      </c>
      <c r="J98" s="167">
        <f t="shared" si="34"/>
        <v>52.67</v>
      </c>
      <c r="K98" s="168">
        <f t="shared" si="61"/>
        <v>512.46799999999996</v>
      </c>
      <c r="L98" s="169">
        <f t="shared" si="62"/>
        <v>12402.215999999999</v>
      </c>
      <c r="M98" s="170">
        <f t="shared" si="60"/>
        <v>12914.68</v>
      </c>
      <c r="N98" s="165">
        <f t="shared" si="53"/>
        <v>2.6764539999999997</v>
      </c>
      <c r="O98" s="166">
        <f t="shared" si="53"/>
        <v>64.772747999999993</v>
      </c>
      <c r="P98" s="167">
        <f t="shared" si="63"/>
        <v>67.44</v>
      </c>
      <c r="Q98" s="168">
        <f t="shared" si="37"/>
        <v>656.26652079999985</v>
      </c>
      <c r="R98" s="169">
        <f t="shared" si="38"/>
        <v>15882.277809599998</v>
      </c>
      <c r="S98" s="169">
        <f t="shared" si="39"/>
        <v>16538.54</v>
      </c>
      <c r="T98" s="161">
        <f t="shared" si="59"/>
        <v>1.0462029125457009E-2</v>
      </c>
    </row>
    <row r="99" spans="1:20" ht="30" customHeight="1" x14ac:dyDescent="0.25">
      <c r="A99" s="162"/>
      <c r="B99" s="162" t="s">
        <v>1234</v>
      </c>
      <c r="C99" s="160" t="s">
        <v>1210</v>
      </c>
      <c r="D99" s="171" t="s">
        <v>842</v>
      </c>
      <c r="E99" s="163" t="s">
        <v>1211</v>
      </c>
      <c r="F99" s="160" t="s">
        <v>22</v>
      </c>
      <c r="G99" s="164">
        <v>9</v>
      </c>
      <c r="H99" s="165">
        <v>3.76</v>
      </c>
      <c r="I99" s="166">
        <v>5.03</v>
      </c>
      <c r="J99" s="167">
        <f t="shared" si="34"/>
        <v>8.7899999999999991</v>
      </c>
      <c r="K99" s="168">
        <f t="shared" si="61"/>
        <v>33.839999999999996</v>
      </c>
      <c r="L99" s="169">
        <f t="shared" si="62"/>
        <v>45.27</v>
      </c>
      <c r="M99" s="170">
        <f t="shared" si="60"/>
        <v>79.11</v>
      </c>
      <c r="N99" s="165">
        <f t="shared" si="53"/>
        <v>4.8150559999999993</v>
      </c>
      <c r="O99" s="166">
        <f t="shared" si="53"/>
        <v>6.4414180000000005</v>
      </c>
      <c r="P99" s="167">
        <f t="shared" si="63"/>
        <v>11.25</v>
      </c>
      <c r="Q99" s="168">
        <f t="shared" si="37"/>
        <v>43.335503999999993</v>
      </c>
      <c r="R99" s="169">
        <f t="shared" si="38"/>
        <v>57.972762000000003</v>
      </c>
      <c r="S99" s="169">
        <f t="shared" si="39"/>
        <v>101.3</v>
      </c>
      <c r="T99" s="161">
        <f t="shared" si="59"/>
        <v>6.4080840897007526E-5</v>
      </c>
    </row>
    <row r="100" spans="1:20" ht="30" customHeight="1" x14ac:dyDescent="0.25">
      <c r="A100" s="326"/>
      <c r="B100" s="162" t="s">
        <v>1235</v>
      </c>
      <c r="C100" s="160">
        <v>62562</v>
      </c>
      <c r="D100" s="171" t="s">
        <v>212</v>
      </c>
      <c r="E100" s="163" t="s">
        <v>1254</v>
      </c>
      <c r="F100" s="160" t="s">
        <v>22</v>
      </c>
      <c r="G100" s="164">
        <v>2</v>
      </c>
      <c r="H100" s="165">
        <v>11.02</v>
      </c>
      <c r="I100" s="166">
        <v>8.4700000000000006</v>
      </c>
      <c r="J100" s="167">
        <f t="shared" si="34"/>
        <v>19.489999999999998</v>
      </c>
      <c r="K100" s="168">
        <f t="shared" si="61"/>
        <v>22.04</v>
      </c>
      <c r="L100" s="169">
        <f t="shared" si="62"/>
        <v>16.940000000000001</v>
      </c>
      <c r="M100" s="170">
        <f t="shared" si="60"/>
        <v>38.979999999999997</v>
      </c>
      <c r="N100" s="165">
        <f t="shared" si="53"/>
        <v>14.112212</v>
      </c>
      <c r="O100" s="166">
        <f t="shared" si="53"/>
        <v>10.846682000000001</v>
      </c>
      <c r="P100" s="167">
        <f t="shared" si="63"/>
        <v>24.95</v>
      </c>
      <c r="Q100" s="168">
        <f t="shared" si="37"/>
        <v>28.224423999999999</v>
      </c>
      <c r="R100" s="169">
        <f t="shared" si="38"/>
        <v>21.693364000000003</v>
      </c>
      <c r="S100" s="169">
        <f t="shared" si="39"/>
        <v>49.91</v>
      </c>
      <c r="T100" s="161">
        <f t="shared" si="59"/>
        <v>3.1572307691704305E-5</v>
      </c>
    </row>
    <row r="101" spans="1:20" ht="30" customHeight="1" x14ac:dyDescent="0.25">
      <c r="A101" s="162"/>
      <c r="B101" s="162" t="s">
        <v>1236</v>
      </c>
      <c r="C101" s="160" t="s">
        <v>1255</v>
      </c>
      <c r="D101" s="171" t="s">
        <v>264</v>
      </c>
      <c r="E101" s="163" t="s">
        <v>1256</v>
      </c>
      <c r="F101" s="160" t="s">
        <v>35</v>
      </c>
      <c r="G101" s="164">
        <v>0.5</v>
      </c>
      <c r="H101" s="165">
        <v>31.46</v>
      </c>
      <c r="I101" s="166">
        <v>111.04</v>
      </c>
      <c r="J101" s="167">
        <f t="shared" si="34"/>
        <v>142.5</v>
      </c>
      <c r="K101" s="168">
        <f t="shared" si="61"/>
        <v>15.73</v>
      </c>
      <c r="L101" s="169">
        <f t="shared" si="62"/>
        <v>55.52</v>
      </c>
      <c r="M101" s="170">
        <f t="shared" si="60"/>
        <v>71.25</v>
      </c>
      <c r="N101" s="165">
        <f t="shared" si="53"/>
        <v>40.287675999999998</v>
      </c>
      <c r="O101" s="166">
        <f t="shared" si="53"/>
        <v>142.197824</v>
      </c>
      <c r="P101" s="167">
        <f t="shared" si="63"/>
        <v>182.48</v>
      </c>
      <c r="Q101" s="168">
        <f t="shared" si="37"/>
        <v>20.143837999999999</v>
      </c>
      <c r="R101" s="169">
        <f t="shared" si="38"/>
        <v>71.098911999999999</v>
      </c>
      <c r="S101" s="169">
        <f t="shared" si="39"/>
        <v>91.24</v>
      </c>
      <c r="T101" s="161">
        <f t="shared" si="59"/>
        <v>5.7717037743760784E-5</v>
      </c>
    </row>
    <row r="102" spans="1:20" ht="30" customHeight="1" x14ac:dyDescent="0.25">
      <c r="A102" s="162"/>
      <c r="B102" s="162"/>
      <c r="C102" s="160"/>
      <c r="D102" s="171"/>
      <c r="E102" s="163"/>
      <c r="F102" s="160"/>
      <c r="G102" s="164"/>
      <c r="H102" s="165"/>
      <c r="I102" s="166"/>
      <c r="J102" s="167">
        <f t="shared" si="34"/>
        <v>0</v>
      </c>
      <c r="K102" s="168">
        <f t="shared" si="61"/>
        <v>0</v>
      </c>
      <c r="L102" s="169">
        <f t="shared" si="62"/>
        <v>0</v>
      </c>
      <c r="M102" s="170">
        <f t="shared" si="60"/>
        <v>0</v>
      </c>
      <c r="N102" s="165">
        <f t="shared" si="53"/>
        <v>0</v>
      </c>
      <c r="O102" s="166">
        <f t="shared" si="53"/>
        <v>0</v>
      </c>
      <c r="P102" s="167">
        <f t="shared" si="63"/>
        <v>0</v>
      </c>
      <c r="Q102" s="168">
        <f t="shared" si="37"/>
        <v>0</v>
      </c>
      <c r="R102" s="169">
        <f t="shared" si="38"/>
        <v>0</v>
      </c>
      <c r="S102" s="169">
        <f t="shared" si="39"/>
        <v>0</v>
      </c>
      <c r="T102" s="161">
        <f t="shared" si="59"/>
        <v>0</v>
      </c>
    </row>
    <row r="103" spans="1:20" ht="30" customHeight="1" x14ac:dyDescent="0.25">
      <c r="A103" s="162"/>
      <c r="B103" s="326">
        <v>10</v>
      </c>
      <c r="C103" s="327"/>
      <c r="D103" s="327"/>
      <c r="E103" s="328" t="s">
        <v>924</v>
      </c>
      <c r="F103" s="329"/>
      <c r="G103" s="330"/>
      <c r="H103" s="331"/>
      <c r="I103" s="329"/>
      <c r="J103" s="332"/>
      <c r="K103" s="337">
        <f>SUM(K104:K113)</f>
        <v>23937.258000000002</v>
      </c>
      <c r="L103" s="337">
        <f t="shared" ref="L103:M103" si="64">SUM(L104:L113)</f>
        <v>78651.207999999999</v>
      </c>
      <c r="M103" s="337">
        <f t="shared" si="64"/>
        <v>102588.44</v>
      </c>
      <c r="N103" s="331">
        <f t="shared" si="53"/>
        <v>0</v>
      </c>
      <c r="O103" s="329">
        <f t="shared" si="53"/>
        <v>0</v>
      </c>
      <c r="P103" s="332"/>
      <c r="Q103" s="337">
        <f>SUM(Q104:Q113)</f>
        <v>30654.052594799996</v>
      </c>
      <c r="R103" s="337">
        <f t="shared" ref="R103:S103" si="65">SUM(R104:R113)</f>
        <v>100720.7369648</v>
      </c>
      <c r="S103" s="337">
        <f t="shared" si="65"/>
        <v>131374.74</v>
      </c>
      <c r="T103" s="333">
        <f t="shared" si="59"/>
        <v>8.3105664480017091E-2</v>
      </c>
    </row>
    <row r="104" spans="1:20" ht="30" customHeight="1" x14ac:dyDescent="0.25">
      <c r="A104" s="162"/>
      <c r="B104" s="162" t="s">
        <v>925</v>
      </c>
      <c r="C104" s="160">
        <v>91864</v>
      </c>
      <c r="D104" s="171" t="s">
        <v>31</v>
      </c>
      <c r="E104" s="163" t="s">
        <v>1363</v>
      </c>
      <c r="F104" s="160" t="s">
        <v>35</v>
      </c>
      <c r="G104" s="164">
        <v>37.5</v>
      </c>
      <c r="H104" s="165">
        <v>4.3899999999999997</v>
      </c>
      <c r="I104" s="166">
        <v>8.82</v>
      </c>
      <c r="J104" s="167">
        <f t="shared" ref="J104:J115" si="66">TRUNC(SUM(H104:I104),2)</f>
        <v>13.21</v>
      </c>
      <c r="K104" s="168">
        <f>+H104*G104</f>
        <v>164.625</v>
      </c>
      <c r="L104" s="169">
        <f>+I104*G104</f>
        <v>330.75</v>
      </c>
      <c r="M104" s="170">
        <f t="shared" ref="M104:M113" si="67">TRUNC(SUM(K104:L104),2)</f>
        <v>495.37</v>
      </c>
      <c r="N104" s="165">
        <f t="shared" si="53"/>
        <v>5.6218339999999998</v>
      </c>
      <c r="O104" s="166">
        <f t="shared" si="53"/>
        <v>11.294892000000001</v>
      </c>
      <c r="P104" s="167">
        <f t="shared" ref="P104:P115" si="68">TRUNC(SUM(N104:O104),2)</f>
        <v>16.91</v>
      </c>
      <c r="Q104" s="168">
        <f t="shared" ref="Q104:Q113" si="69">+N104*G104</f>
        <v>210.81877499999999</v>
      </c>
      <c r="R104" s="169">
        <f t="shared" ref="R104:R113" si="70">+O104*G104</f>
        <v>423.55845000000005</v>
      </c>
      <c r="S104" s="169">
        <f t="shared" ref="S104:S113" si="71">TRUNC(SUM(Q104:R104),2)</f>
        <v>634.37</v>
      </c>
      <c r="T104" s="161">
        <f t="shared" si="59"/>
        <v>4.0129282369037186E-4</v>
      </c>
    </row>
    <row r="105" spans="1:20" ht="30" customHeight="1" x14ac:dyDescent="0.25">
      <c r="A105" s="162"/>
      <c r="B105" s="162" t="s">
        <v>926</v>
      </c>
      <c r="C105" s="160">
        <v>91863</v>
      </c>
      <c r="D105" s="171" t="s">
        <v>31</v>
      </c>
      <c r="E105" s="163" t="s">
        <v>1364</v>
      </c>
      <c r="F105" s="160" t="s">
        <v>35</v>
      </c>
      <c r="G105" s="164">
        <v>2217</v>
      </c>
      <c r="H105" s="165">
        <v>3.68</v>
      </c>
      <c r="I105" s="166">
        <v>6.27</v>
      </c>
      <c r="J105" s="167">
        <f t="shared" si="66"/>
        <v>9.9499999999999993</v>
      </c>
      <c r="K105" s="168">
        <f t="shared" ref="K105:K113" si="72">+H105*G105</f>
        <v>8158.56</v>
      </c>
      <c r="L105" s="169">
        <f t="shared" ref="L105:L113" si="73">+I105*G105</f>
        <v>13900.589999999998</v>
      </c>
      <c r="M105" s="170">
        <f t="shared" si="67"/>
        <v>22059.15</v>
      </c>
      <c r="N105" s="165">
        <f t="shared" si="53"/>
        <v>4.7126080000000004</v>
      </c>
      <c r="O105" s="166">
        <f t="shared" si="53"/>
        <v>8.029361999999999</v>
      </c>
      <c r="P105" s="167">
        <f t="shared" ref="P105:P113" si="74">TRUNC(SUM(N105:O105),2)</f>
        <v>12.74</v>
      </c>
      <c r="Q105" s="168">
        <f t="shared" si="69"/>
        <v>10447.851936000001</v>
      </c>
      <c r="R105" s="169">
        <f t="shared" si="70"/>
        <v>17801.095554</v>
      </c>
      <c r="S105" s="169">
        <f t="shared" si="71"/>
        <v>28248.94</v>
      </c>
      <c r="T105" s="161">
        <f t="shared" si="59"/>
        <v>1.7869850243327857E-2</v>
      </c>
    </row>
    <row r="106" spans="1:20" ht="30" customHeight="1" x14ac:dyDescent="0.25">
      <c r="A106" s="162"/>
      <c r="B106" s="162" t="s">
        <v>927</v>
      </c>
      <c r="C106" s="160">
        <v>93008</v>
      </c>
      <c r="D106" s="171" t="s">
        <v>31</v>
      </c>
      <c r="E106" s="163" t="s">
        <v>1365</v>
      </c>
      <c r="F106" s="160" t="s">
        <v>35</v>
      </c>
      <c r="G106" s="164">
        <v>6</v>
      </c>
      <c r="H106" s="165">
        <v>3.32</v>
      </c>
      <c r="I106" s="166">
        <v>11.3</v>
      </c>
      <c r="J106" s="167">
        <f t="shared" si="66"/>
        <v>14.62</v>
      </c>
      <c r="K106" s="168">
        <f t="shared" si="72"/>
        <v>19.919999999999998</v>
      </c>
      <c r="L106" s="169">
        <f t="shared" si="73"/>
        <v>67.800000000000011</v>
      </c>
      <c r="M106" s="170">
        <f t="shared" si="67"/>
        <v>87.72</v>
      </c>
      <c r="N106" s="165">
        <f t="shared" si="53"/>
        <v>4.2515919999999996</v>
      </c>
      <c r="O106" s="166">
        <f t="shared" si="53"/>
        <v>14.470780000000001</v>
      </c>
      <c r="P106" s="167">
        <f t="shared" si="74"/>
        <v>18.72</v>
      </c>
      <c r="Q106" s="168">
        <f t="shared" si="69"/>
        <v>25.509551999999999</v>
      </c>
      <c r="R106" s="169">
        <f t="shared" si="70"/>
        <v>86.824680000000001</v>
      </c>
      <c r="S106" s="169">
        <f t="shared" si="71"/>
        <v>112.33</v>
      </c>
      <c r="T106" s="161">
        <f t="shared" si="59"/>
        <v>7.1058251312545477E-5</v>
      </c>
    </row>
    <row r="107" spans="1:20" ht="30" customHeight="1" x14ac:dyDescent="0.25">
      <c r="A107" s="162"/>
      <c r="B107" s="162" t="s">
        <v>928</v>
      </c>
      <c r="C107" s="160">
        <v>93009</v>
      </c>
      <c r="D107" s="171" t="s">
        <v>31</v>
      </c>
      <c r="E107" s="163" t="s">
        <v>1366</v>
      </c>
      <c r="F107" s="160" t="s">
        <v>35</v>
      </c>
      <c r="G107" s="164">
        <v>14.8</v>
      </c>
      <c r="H107" s="165">
        <v>3.81</v>
      </c>
      <c r="I107" s="166">
        <v>17.850000000000001</v>
      </c>
      <c r="J107" s="167">
        <f t="shared" si="66"/>
        <v>21.66</v>
      </c>
      <c r="K107" s="168">
        <f t="shared" si="72"/>
        <v>56.388000000000005</v>
      </c>
      <c r="L107" s="169">
        <f t="shared" si="73"/>
        <v>264.18</v>
      </c>
      <c r="M107" s="170">
        <f t="shared" si="67"/>
        <v>320.56</v>
      </c>
      <c r="N107" s="165">
        <f t="shared" si="53"/>
        <v>4.879086</v>
      </c>
      <c r="O107" s="166">
        <f t="shared" si="53"/>
        <v>22.858710000000002</v>
      </c>
      <c r="P107" s="167">
        <f t="shared" si="74"/>
        <v>27.73</v>
      </c>
      <c r="Q107" s="168">
        <f t="shared" si="69"/>
        <v>72.210472800000005</v>
      </c>
      <c r="R107" s="169">
        <f t="shared" si="70"/>
        <v>338.30890800000003</v>
      </c>
      <c r="S107" s="169">
        <f t="shared" si="71"/>
        <v>410.51</v>
      </c>
      <c r="T107" s="161">
        <f t="shared" si="59"/>
        <v>2.5968238891046954E-4</v>
      </c>
    </row>
    <row r="108" spans="1:20" ht="30" customHeight="1" x14ac:dyDescent="0.25">
      <c r="A108" s="162"/>
      <c r="B108" s="162" t="s">
        <v>1367</v>
      </c>
      <c r="C108" s="160">
        <v>93012</v>
      </c>
      <c r="D108" s="171" t="s">
        <v>31</v>
      </c>
      <c r="E108" s="163" t="s">
        <v>940</v>
      </c>
      <c r="F108" s="160" t="s">
        <v>35</v>
      </c>
      <c r="G108" s="164">
        <f>5.9+63.6</f>
        <v>69.5</v>
      </c>
      <c r="H108" s="165">
        <v>13.37</v>
      </c>
      <c r="I108" s="166">
        <v>49.66</v>
      </c>
      <c r="J108" s="167">
        <f t="shared" si="66"/>
        <v>63.03</v>
      </c>
      <c r="K108" s="168">
        <f t="shared" si="72"/>
        <v>929.21499999999992</v>
      </c>
      <c r="L108" s="169">
        <f t="shared" si="73"/>
        <v>3451.37</v>
      </c>
      <c r="M108" s="170">
        <f t="shared" si="67"/>
        <v>4380.58</v>
      </c>
      <c r="N108" s="165">
        <f t="shared" si="53"/>
        <v>17.121621999999999</v>
      </c>
      <c r="O108" s="166">
        <f t="shared" si="53"/>
        <v>63.594595999999996</v>
      </c>
      <c r="P108" s="167">
        <f t="shared" si="74"/>
        <v>80.709999999999994</v>
      </c>
      <c r="Q108" s="168">
        <f t="shared" si="69"/>
        <v>1189.9527289999999</v>
      </c>
      <c r="R108" s="169">
        <f t="shared" si="70"/>
        <v>4419.8244219999997</v>
      </c>
      <c r="S108" s="169">
        <f t="shared" si="71"/>
        <v>5609.77</v>
      </c>
      <c r="T108" s="161">
        <f t="shared" si="59"/>
        <v>3.5486552698796247E-3</v>
      </c>
    </row>
    <row r="109" spans="1:20" ht="30" customHeight="1" x14ac:dyDescent="0.25">
      <c r="A109" s="162"/>
      <c r="B109" s="162" t="s">
        <v>929</v>
      </c>
      <c r="C109" s="160">
        <v>11819</v>
      </c>
      <c r="D109" s="171" t="s">
        <v>175</v>
      </c>
      <c r="E109" s="163" t="s">
        <v>942</v>
      </c>
      <c r="F109" s="160" t="s">
        <v>225</v>
      </c>
      <c r="G109" s="164">
        <v>1</v>
      </c>
      <c r="H109" s="165">
        <v>3.65</v>
      </c>
      <c r="I109" s="166">
        <v>6.44</v>
      </c>
      <c r="J109" s="167">
        <f t="shared" si="66"/>
        <v>10.09</v>
      </c>
      <c r="K109" s="168">
        <f t="shared" si="72"/>
        <v>3.65</v>
      </c>
      <c r="L109" s="169">
        <f t="shared" si="73"/>
        <v>6.44</v>
      </c>
      <c r="M109" s="170">
        <f t="shared" si="67"/>
        <v>10.09</v>
      </c>
      <c r="N109" s="165">
        <f t="shared" si="53"/>
        <v>4.6741899999999994</v>
      </c>
      <c r="O109" s="166">
        <f t="shared" si="53"/>
        <v>8.247064</v>
      </c>
      <c r="P109" s="167">
        <f t="shared" si="74"/>
        <v>12.92</v>
      </c>
      <c r="Q109" s="168">
        <f t="shared" si="69"/>
        <v>4.6741899999999994</v>
      </c>
      <c r="R109" s="169">
        <f t="shared" si="70"/>
        <v>8.247064</v>
      </c>
      <c r="S109" s="169">
        <f t="shared" si="71"/>
        <v>12.92</v>
      </c>
      <c r="T109" s="161">
        <f t="shared" si="59"/>
        <v>8.1729956997960247E-6</v>
      </c>
    </row>
    <row r="110" spans="1:20" ht="30" customHeight="1" x14ac:dyDescent="0.25">
      <c r="A110" s="162"/>
      <c r="B110" s="162" t="s">
        <v>930</v>
      </c>
      <c r="C110" s="160">
        <v>68207</v>
      </c>
      <c r="D110" s="171" t="s">
        <v>212</v>
      </c>
      <c r="E110" s="163" t="s">
        <v>736</v>
      </c>
      <c r="F110" s="160" t="s">
        <v>35</v>
      </c>
      <c r="G110" s="164">
        <v>0.3</v>
      </c>
      <c r="H110" s="165">
        <v>91.5</v>
      </c>
      <c r="I110" s="166">
        <v>109.76</v>
      </c>
      <c r="J110" s="167">
        <f t="shared" si="66"/>
        <v>201.26</v>
      </c>
      <c r="K110" s="168">
        <f t="shared" si="72"/>
        <v>27.45</v>
      </c>
      <c r="L110" s="169">
        <f t="shared" si="73"/>
        <v>32.927999999999997</v>
      </c>
      <c r="M110" s="170">
        <f t="shared" si="67"/>
        <v>60.37</v>
      </c>
      <c r="N110" s="165">
        <f t="shared" si="53"/>
        <v>117.17489999999999</v>
      </c>
      <c r="O110" s="166">
        <f t="shared" si="53"/>
        <v>140.55865600000001</v>
      </c>
      <c r="P110" s="167">
        <f t="shared" si="74"/>
        <v>257.73</v>
      </c>
      <c r="Q110" s="168">
        <f t="shared" si="69"/>
        <v>35.152469999999994</v>
      </c>
      <c r="R110" s="169">
        <f t="shared" si="70"/>
        <v>42.167596800000005</v>
      </c>
      <c r="S110" s="169">
        <f t="shared" si="71"/>
        <v>77.319999999999993</v>
      </c>
      <c r="T110" s="161">
        <f t="shared" si="59"/>
        <v>4.8911457237478992E-5</v>
      </c>
    </row>
    <row r="111" spans="1:20" ht="30" customHeight="1" x14ac:dyDescent="0.25">
      <c r="A111" s="162"/>
      <c r="B111" s="162" t="s">
        <v>931</v>
      </c>
      <c r="C111" s="160">
        <v>60140</v>
      </c>
      <c r="D111" s="171" t="s">
        <v>212</v>
      </c>
      <c r="E111" s="163" t="s">
        <v>1353</v>
      </c>
      <c r="F111" s="160" t="s">
        <v>22</v>
      </c>
      <c r="G111" s="164">
        <v>135</v>
      </c>
      <c r="H111" s="165">
        <v>1.27</v>
      </c>
      <c r="I111" s="166">
        <v>38.47</v>
      </c>
      <c r="J111" s="167">
        <f t="shared" si="66"/>
        <v>39.74</v>
      </c>
      <c r="K111" s="168">
        <f t="shared" si="72"/>
        <v>171.45</v>
      </c>
      <c r="L111" s="169">
        <f t="shared" si="73"/>
        <v>5193.45</v>
      </c>
      <c r="M111" s="170">
        <f t="shared" si="67"/>
        <v>5364.9</v>
      </c>
      <c r="N111" s="165">
        <f t="shared" si="53"/>
        <v>1.6263619999999999</v>
      </c>
      <c r="O111" s="166">
        <f t="shared" si="53"/>
        <v>49.264682000000001</v>
      </c>
      <c r="P111" s="167">
        <f t="shared" si="74"/>
        <v>50.89</v>
      </c>
      <c r="Q111" s="168">
        <f t="shared" si="69"/>
        <v>219.55886999999998</v>
      </c>
      <c r="R111" s="169">
        <f t="shared" si="70"/>
        <v>6650.73207</v>
      </c>
      <c r="S111" s="169">
        <f t="shared" si="71"/>
        <v>6870.29</v>
      </c>
      <c r="T111" s="161">
        <f t="shared" si="59"/>
        <v>4.3460410701510552E-3</v>
      </c>
    </row>
    <row r="112" spans="1:20" ht="30" customHeight="1" x14ac:dyDescent="0.25">
      <c r="A112" s="326"/>
      <c r="B112" s="162" t="s">
        <v>932</v>
      </c>
      <c r="C112" s="160">
        <v>90953</v>
      </c>
      <c r="D112" s="171" t="s">
        <v>1340</v>
      </c>
      <c r="E112" s="163" t="s">
        <v>1368</v>
      </c>
      <c r="F112" s="160" t="s">
        <v>22</v>
      </c>
      <c r="G112" s="164">
        <v>150</v>
      </c>
      <c r="H112" s="165">
        <v>64.8</v>
      </c>
      <c r="I112" s="166">
        <v>219.69</v>
      </c>
      <c r="J112" s="167">
        <f t="shared" ref="J112:J113" si="75">TRUNC(SUM(H112:I112),2)</f>
        <v>284.49</v>
      </c>
      <c r="K112" s="168">
        <f t="shared" si="72"/>
        <v>9720</v>
      </c>
      <c r="L112" s="169">
        <f t="shared" si="73"/>
        <v>32953.5</v>
      </c>
      <c r="M112" s="170">
        <f t="shared" si="67"/>
        <v>42673.5</v>
      </c>
      <c r="N112" s="165">
        <f t="shared" si="53"/>
        <v>82.982879999999994</v>
      </c>
      <c r="O112" s="166">
        <f t="shared" si="53"/>
        <v>281.335014</v>
      </c>
      <c r="P112" s="167">
        <f t="shared" si="74"/>
        <v>364.31</v>
      </c>
      <c r="Q112" s="168">
        <f t="shared" si="69"/>
        <v>12447.431999999999</v>
      </c>
      <c r="R112" s="169">
        <f t="shared" si="70"/>
        <v>42200.252099999998</v>
      </c>
      <c r="S112" s="169">
        <f t="shared" si="71"/>
        <v>54647.68</v>
      </c>
      <c r="T112" s="161">
        <f t="shared" si="59"/>
        <v>3.4569292077695761E-2</v>
      </c>
    </row>
    <row r="113" spans="1:20" ht="25.5" x14ac:dyDescent="0.25">
      <c r="A113" s="162"/>
      <c r="B113" s="162" t="s">
        <v>933</v>
      </c>
      <c r="C113" s="160">
        <v>100903</v>
      </c>
      <c r="D113" s="171" t="s">
        <v>31</v>
      </c>
      <c r="E113" s="163" t="s">
        <v>1369</v>
      </c>
      <c r="F113" s="160" t="s">
        <v>22</v>
      </c>
      <c r="G113" s="164">
        <v>852</v>
      </c>
      <c r="H113" s="165">
        <v>5.5</v>
      </c>
      <c r="I113" s="166">
        <v>26.35</v>
      </c>
      <c r="J113" s="167">
        <f t="shared" si="75"/>
        <v>31.85</v>
      </c>
      <c r="K113" s="168">
        <f t="shared" si="72"/>
        <v>4686</v>
      </c>
      <c r="L113" s="169">
        <f t="shared" si="73"/>
        <v>22450.2</v>
      </c>
      <c r="M113" s="170">
        <f t="shared" si="67"/>
        <v>27136.2</v>
      </c>
      <c r="N113" s="165">
        <f t="shared" si="53"/>
        <v>7.0432999999999995</v>
      </c>
      <c r="O113" s="166">
        <f t="shared" si="53"/>
        <v>33.743810000000003</v>
      </c>
      <c r="P113" s="167">
        <f t="shared" si="74"/>
        <v>40.78</v>
      </c>
      <c r="Q113" s="168">
        <f t="shared" si="69"/>
        <v>6000.8915999999999</v>
      </c>
      <c r="R113" s="169">
        <f t="shared" si="70"/>
        <v>28749.726120000003</v>
      </c>
      <c r="S113" s="169">
        <f t="shared" si="71"/>
        <v>34750.61</v>
      </c>
      <c r="T113" s="161">
        <f t="shared" si="59"/>
        <v>2.1982707902112132E-2</v>
      </c>
    </row>
    <row r="114" spans="1:20" x14ac:dyDescent="0.25">
      <c r="A114" s="162"/>
      <c r="B114" s="162"/>
      <c r="C114" s="160"/>
      <c r="D114" s="171"/>
      <c r="E114" s="163"/>
      <c r="F114" s="160"/>
      <c r="G114" s="164"/>
      <c r="H114" s="165"/>
      <c r="I114" s="166"/>
      <c r="J114" s="167"/>
      <c r="K114" s="168"/>
      <c r="L114" s="169"/>
      <c r="M114" s="170"/>
      <c r="N114" s="165"/>
      <c r="O114" s="166"/>
      <c r="P114" s="167"/>
      <c r="Q114" s="168"/>
      <c r="R114" s="169"/>
      <c r="S114" s="169"/>
      <c r="T114" s="161">
        <f t="shared" si="59"/>
        <v>0</v>
      </c>
    </row>
    <row r="115" spans="1:20" x14ac:dyDescent="0.25">
      <c r="A115" s="162"/>
      <c r="B115" s="326">
        <v>11</v>
      </c>
      <c r="C115" s="356"/>
      <c r="D115" s="356"/>
      <c r="E115" s="328" t="s">
        <v>949</v>
      </c>
      <c r="F115" s="339"/>
      <c r="G115" s="357"/>
      <c r="H115" s="338"/>
      <c r="I115" s="339"/>
      <c r="J115" s="340">
        <f t="shared" si="66"/>
        <v>0</v>
      </c>
      <c r="K115" s="337">
        <f>SUM(K116:K117)</f>
        <v>404.04</v>
      </c>
      <c r="L115" s="337">
        <f>SUM(L116:L117)</f>
        <v>20916.37</v>
      </c>
      <c r="M115" s="337">
        <f>SUM(M116:M117)</f>
        <v>21320.410000000003</v>
      </c>
      <c r="N115" s="358">
        <f t="shared" si="53"/>
        <v>0</v>
      </c>
      <c r="O115" s="359">
        <f t="shared" si="53"/>
        <v>0</v>
      </c>
      <c r="P115" s="360">
        <f t="shared" si="68"/>
        <v>0</v>
      </c>
      <c r="Q115" s="337">
        <f>SUM(Q116:Q117)</f>
        <v>517.41362400000003</v>
      </c>
      <c r="R115" s="337">
        <f>SUM(R116:R117)</f>
        <v>26785.503422000002</v>
      </c>
      <c r="S115" s="337">
        <f>SUM(S116:S117)</f>
        <v>27302.91</v>
      </c>
      <c r="T115" s="333">
        <f t="shared" si="59"/>
        <v>1.7271406038848133E-2</v>
      </c>
    </row>
    <row r="116" spans="1:20" ht="30" customHeight="1" x14ac:dyDescent="0.25">
      <c r="A116" s="326"/>
      <c r="B116" s="162" t="s">
        <v>947</v>
      </c>
      <c r="C116" s="160">
        <v>101879</v>
      </c>
      <c r="D116" s="171" t="s">
        <v>31</v>
      </c>
      <c r="E116" s="163" t="s">
        <v>951</v>
      </c>
      <c r="F116" s="160" t="s">
        <v>22</v>
      </c>
      <c r="G116" s="164">
        <v>7</v>
      </c>
      <c r="H116" s="165">
        <v>17.760000000000002</v>
      </c>
      <c r="I116" s="166">
        <v>641.92999999999995</v>
      </c>
      <c r="J116" s="167">
        <f>TRUNC(SUM(H116:I116),2)</f>
        <v>659.69</v>
      </c>
      <c r="K116" s="168">
        <f>+H116*G116</f>
        <v>124.32000000000001</v>
      </c>
      <c r="L116" s="169">
        <f>+I116*G116</f>
        <v>4493.5099999999993</v>
      </c>
      <c r="M116" s="170">
        <f t="shared" ref="M116:M117" si="76">TRUNC(SUM(K116:L116),2)</f>
        <v>4617.83</v>
      </c>
      <c r="N116" s="165">
        <f t="shared" si="53"/>
        <v>22.743456000000002</v>
      </c>
      <c r="O116" s="166">
        <f t="shared" si="53"/>
        <v>822.05555799999991</v>
      </c>
      <c r="P116" s="167">
        <f>TRUNC(SUM(N116:O116),2)</f>
        <v>844.79</v>
      </c>
      <c r="Q116" s="168">
        <f>+N116*G116</f>
        <v>159.20419200000001</v>
      </c>
      <c r="R116" s="169">
        <f>+O116*G116</f>
        <v>5754.3889059999992</v>
      </c>
      <c r="S116" s="169">
        <f>TRUNC(SUM(Q116:R116),2)</f>
        <v>5913.59</v>
      </c>
      <c r="T116" s="161">
        <f t="shared" si="59"/>
        <v>3.7408471857861281E-3</v>
      </c>
    </row>
    <row r="117" spans="1:20" ht="30" customHeight="1" x14ac:dyDescent="0.25">
      <c r="A117" s="341"/>
      <c r="B117" s="162" t="s">
        <v>948</v>
      </c>
      <c r="C117" s="160" t="s">
        <v>1348</v>
      </c>
      <c r="D117" s="171" t="s">
        <v>124</v>
      </c>
      <c r="E117" s="163" t="s">
        <v>1311</v>
      </c>
      <c r="F117" s="160" t="s">
        <v>22</v>
      </c>
      <c r="G117" s="164">
        <v>1</v>
      </c>
      <c r="H117" s="165">
        <v>279.72000000000003</v>
      </c>
      <c r="I117" s="166">
        <v>16422.86</v>
      </c>
      <c r="J117" s="167">
        <f>TRUNC(SUM(H117:I117),2)</f>
        <v>16702.580000000002</v>
      </c>
      <c r="K117" s="168">
        <f>+H117*G117</f>
        <v>279.72000000000003</v>
      </c>
      <c r="L117" s="169">
        <f>+I117*G117</f>
        <v>16422.86</v>
      </c>
      <c r="M117" s="170">
        <f t="shared" si="76"/>
        <v>16702.580000000002</v>
      </c>
      <c r="N117" s="165">
        <f t="shared" si="53"/>
        <v>358.20943200000005</v>
      </c>
      <c r="O117" s="166">
        <f t="shared" si="53"/>
        <v>21031.114516000001</v>
      </c>
      <c r="P117" s="167">
        <f>TRUNC(SUM(N117:O117),2)</f>
        <v>21389.32</v>
      </c>
      <c r="Q117" s="168">
        <f>+N117*G117</f>
        <v>358.20943200000005</v>
      </c>
      <c r="R117" s="169">
        <f>+O117*G117</f>
        <v>21031.114516000001</v>
      </c>
      <c r="S117" s="169">
        <f>TRUNC(SUM(Q117:R117),2)</f>
        <v>21389.32</v>
      </c>
      <c r="T117" s="161">
        <f t="shared" si="59"/>
        <v>1.3530558853062006E-2</v>
      </c>
    </row>
    <row r="118" spans="1:20" ht="30" customHeight="1" x14ac:dyDescent="0.25">
      <c r="A118" s="162"/>
      <c r="B118" s="162"/>
      <c r="C118" s="160"/>
      <c r="D118" s="171"/>
      <c r="E118" s="163"/>
      <c r="F118" s="160"/>
      <c r="G118" s="164"/>
      <c r="H118" s="165"/>
      <c r="I118" s="166"/>
      <c r="J118" s="167"/>
      <c r="K118" s="168"/>
      <c r="L118" s="169"/>
      <c r="M118" s="170"/>
      <c r="N118" s="165"/>
      <c r="O118" s="166"/>
      <c r="P118" s="167"/>
      <c r="Q118" s="168"/>
      <c r="R118" s="169"/>
      <c r="S118" s="169"/>
      <c r="T118" s="161">
        <f t="shared" si="59"/>
        <v>0</v>
      </c>
    </row>
    <row r="119" spans="1:20" ht="30" customHeight="1" x14ac:dyDescent="0.25">
      <c r="A119" s="162"/>
      <c r="B119" s="326">
        <v>12</v>
      </c>
      <c r="C119" s="327"/>
      <c r="D119" s="327"/>
      <c r="E119" s="328" t="s">
        <v>952</v>
      </c>
      <c r="F119" s="329"/>
      <c r="G119" s="330"/>
      <c r="H119" s="331"/>
      <c r="I119" s="329"/>
      <c r="J119" s="332">
        <f t="shared" ref="J119:J129" si="77">TRUNC(SUM(H119:I119),2)</f>
        <v>0</v>
      </c>
      <c r="K119" s="337">
        <f>K120+K122+K126+K129+K139+K142+K149+K153+K166+K179+K190</f>
        <v>73477.676000000007</v>
      </c>
      <c r="L119" s="337">
        <f>L120+L122+L126+L129+L139+L142+L149+L153+L166+L179+L190</f>
        <v>488845.74099999998</v>
      </c>
      <c r="M119" s="337">
        <f>M120+M122+M126+M129+M139+M142+M149+M153+M166+M179+M190</f>
        <v>562323.39</v>
      </c>
      <c r="N119" s="353">
        <f t="shared" si="53"/>
        <v>0</v>
      </c>
      <c r="O119" s="354">
        <f t="shared" si="53"/>
        <v>0</v>
      </c>
      <c r="P119" s="355">
        <f t="shared" ref="P119:P129" si="78">TRUNC(SUM(N119:O119),2)</f>
        <v>0</v>
      </c>
      <c r="Q119" s="337">
        <f>Q120+Q122+Q126+Q129+Q139+Q142+Q149+Q153+Q166+Q179+Q190</f>
        <v>94095.51188559999</v>
      </c>
      <c r="R119" s="337">
        <f>R120+R122+R126+R129+R139+R142+R149+R153+R166+R179+R190</f>
        <v>626015.85592460004</v>
      </c>
      <c r="S119" s="337">
        <f>S120+S122+S126+S129+S139+S142+S149+S153+S166+S179+S190</f>
        <v>720111.07</v>
      </c>
      <c r="T119" s="333">
        <f t="shared" si="59"/>
        <v>0.45553132186420386</v>
      </c>
    </row>
    <row r="120" spans="1:20" ht="30" customHeight="1" x14ac:dyDescent="0.25">
      <c r="A120" s="341"/>
      <c r="B120" s="341" t="s">
        <v>954</v>
      </c>
      <c r="C120" s="342"/>
      <c r="D120" s="342"/>
      <c r="E120" s="343" t="s">
        <v>953</v>
      </c>
      <c r="F120" s="344"/>
      <c r="G120" s="345"/>
      <c r="H120" s="346"/>
      <c r="I120" s="344"/>
      <c r="J120" s="347"/>
      <c r="K120" s="348">
        <f>SUM(K121:K121)</f>
        <v>1256.3399999999999</v>
      </c>
      <c r="L120" s="348">
        <f>SUM(L121:L121)</f>
        <v>38632.455000000002</v>
      </c>
      <c r="M120" s="348">
        <f>SUM(M121:M121)</f>
        <v>39888.79</v>
      </c>
      <c r="N120" s="350"/>
      <c r="O120" s="351"/>
      <c r="P120" s="352"/>
      <c r="Q120" s="348">
        <f>SUM(Q121:Q121)</f>
        <v>1608.8690040000001</v>
      </c>
      <c r="R120" s="348">
        <f>SUM(R121:R121)</f>
        <v>49472.721872999995</v>
      </c>
      <c r="S120" s="348">
        <f>SUM(S121:S121)</f>
        <v>51081.59</v>
      </c>
      <c r="T120" s="349">
        <f t="shared" si="59"/>
        <v>3.2313437725134952E-2</v>
      </c>
    </row>
    <row r="121" spans="1:20" ht="30" customHeight="1" x14ac:dyDescent="0.25">
      <c r="A121" s="162"/>
      <c r="B121" s="162" t="s">
        <v>955</v>
      </c>
      <c r="C121" s="160" t="s">
        <v>752</v>
      </c>
      <c r="D121" s="171" t="s">
        <v>31</v>
      </c>
      <c r="E121" s="163" t="s">
        <v>753</v>
      </c>
      <c r="F121" s="160" t="s">
        <v>35</v>
      </c>
      <c r="G121" s="164">
        <v>10469.5</v>
      </c>
      <c r="H121" s="165">
        <v>0.12</v>
      </c>
      <c r="I121" s="166">
        <v>3.69</v>
      </c>
      <c r="J121" s="167">
        <f t="shared" ref="J121:J125" si="79">TRUNC(SUM(H121:I121),2)</f>
        <v>3.81</v>
      </c>
      <c r="K121" s="168">
        <f t="shared" ref="K121:K138" si="80">+H121*G121</f>
        <v>1256.3399999999999</v>
      </c>
      <c r="L121" s="169">
        <f t="shared" ref="L121:L138" si="81">+I121*G121</f>
        <v>38632.455000000002</v>
      </c>
      <c r="M121" s="170">
        <f t="shared" ref="M121:M125" si="82">TRUNC(SUM(K121:L121),2)</f>
        <v>39888.79</v>
      </c>
      <c r="N121" s="165">
        <f t="shared" si="53"/>
        <v>0.153672</v>
      </c>
      <c r="O121" s="166">
        <f t="shared" si="53"/>
        <v>4.7254139999999998</v>
      </c>
      <c r="P121" s="167">
        <f t="shared" ref="P121:P126" si="83">TRUNC(SUM(N121:O121),2)</f>
        <v>4.87</v>
      </c>
      <c r="Q121" s="168">
        <f t="shared" ref="Q121:Q125" si="84">+N121*G121</f>
        <v>1608.8690040000001</v>
      </c>
      <c r="R121" s="169">
        <f t="shared" ref="R121:R125" si="85">+O121*G121</f>
        <v>49472.721872999995</v>
      </c>
      <c r="S121" s="169">
        <f t="shared" ref="S121:S125" si="86">TRUNC(SUM(Q121:R121),2)</f>
        <v>51081.59</v>
      </c>
      <c r="T121" s="161">
        <f t="shared" si="59"/>
        <v>3.2313437725134952E-2</v>
      </c>
    </row>
    <row r="122" spans="1:20" ht="30" customHeight="1" x14ac:dyDescent="0.25">
      <c r="A122" s="162"/>
      <c r="B122" s="341" t="s">
        <v>957</v>
      </c>
      <c r="C122" s="362"/>
      <c r="D122" s="363"/>
      <c r="E122" s="343" t="s">
        <v>956</v>
      </c>
      <c r="F122" s="342"/>
      <c r="G122" s="361"/>
      <c r="H122" s="350"/>
      <c r="I122" s="351"/>
      <c r="J122" s="352">
        <f t="shared" si="79"/>
        <v>0</v>
      </c>
      <c r="K122" s="348">
        <f>SUM(K123:K125)</f>
        <v>654.98</v>
      </c>
      <c r="L122" s="348">
        <f>SUM(L123:L125)</f>
        <v>569.38</v>
      </c>
      <c r="M122" s="348">
        <f>SUM(M123:M125)</f>
        <v>1224.3600000000001</v>
      </c>
      <c r="N122" s="350">
        <f t="shared" si="53"/>
        <v>0</v>
      </c>
      <c r="O122" s="351">
        <f t="shared" si="53"/>
        <v>0</v>
      </c>
      <c r="P122" s="352">
        <f t="shared" si="83"/>
        <v>0</v>
      </c>
      <c r="Q122" s="348">
        <f>SUM(Q123:Q125)</f>
        <v>838.76738799999998</v>
      </c>
      <c r="R122" s="348">
        <f>SUM(R123:R125)</f>
        <v>729.14802799999995</v>
      </c>
      <c r="S122" s="348">
        <f>SUM(S123:S125)</f>
        <v>1567.9</v>
      </c>
      <c r="T122" s="349">
        <f t="shared" si="59"/>
        <v>9.9182971808902385E-4</v>
      </c>
    </row>
    <row r="123" spans="1:20" ht="30" customHeight="1" x14ac:dyDescent="0.25">
      <c r="A123" s="162"/>
      <c r="B123" s="162" t="s">
        <v>958</v>
      </c>
      <c r="C123" s="160" t="s">
        <v>841</v>
      </c>
      <c r="D123" s="171" t="s">
        <v>842</v>
      </c>
      <c r="E123" s="163" t="s">
        <v>843</v>
      </c>
      <c r="F123" s="160" t="s">
        <v>22</v>
      </c>
      <c r="G123" s="164">
        <v>46</v>
      </c>
      <c r="H123" s="165">
        <v>4.88</v>
      </c>
      <c r="I123" s="166">
        <v>5.29</v>
      </c>
      <c r="J123" s="167">
        <f t="shared" si="79"/>
        <v>10.17</v>
      </c>
      <c r="K123" s="168">
        <f t="shared" si="80"/>
        <v>224.48</v>
      </c>
      <c r="L123" s="169">
        <f t="shared" si="81"/>
        <v>243.34</v>
      </c>
      <c r="M123" s="170">
        <f t="shared" si="82"/>
        <v>467.82</v>
      </c>
      <c r="N123" s="165">
        <f t="shared" si="53"/>
        <v>6.2493279999999993</v>
      </c>
      <c r="O123" s="166">
        <f t="shared" si="53"/>
        <v>6.7743739999999999</v>
      </c>
      <c r="P123" s="167">
        <f t="shared" si="83"/>
        <v>13.02</v>
      </c>
      <c r="Q123" s="168">
        <f t="shared" si="84"/>
        <v>287.46908799999994</v>
      </c>
      <c r="R123" s="169">
        <f t="shared" si="85"/>
        <v>311.62120399999998</v>
      </c>
      <c r="S123" s="169">
        <f t="shared" si="86"/>
        <v>599.09</v>
      </c>
      <c r="T123" s="161">
        <f t="shared" si="59"/>
        <v>3.7897523171755425E-4</v>
      </c>
    </row>
    <row r="124" spans="1:20" ht="30" customHeight="1" x14ac:dyDescent="0.25">
      <c r="A124" s="341"/>
      <c r="B124" s="162" t="s">
        <v>959</v>
      </c>
      <c r="C124" s="160" t="s">
        <v>746</v>
      </c>
      <c r="D124" s="171" t="s">
        <v>124</v>
      </c>
      <c r="E124" s="163" t="s">
        <v>440</v>
      </c>
      <c r="F124" s="160" t="s">
        <v>22</v>
      </c>
      <c r="G124" s="164">
        <v>13</v>
      </c>
      <c r="H124" s="165">
        <v>7.7</v>
      </c>
      <c r="I124" s="166">
        <v>4.92</v>
      </c>
      <c r="J124" s="167">
        <f t="shared" si="79"/>
        <v>12.62</v>
      </c>
      <c r="K124" s="168">
        <f t="shared" si="80"/>
        <v>100.10000000000001</v>
      </c>
      <c r="L124" s="169">
        <f t="shared" si="81"/>
        <v>63.96</v>
      </c>
      <c r="M124" s="170">
        <f t="shared" si="82"/>
        <v>164.06</v>
      </c>
      <c r="N124" s="165">
        <f t="shared" si="53"/>
        <v>9.8606199999999991</v>
      </c>
      <c r="O124" s="166">
        <f t="shared" si="53"/>
        <v>6.3005519999999997</v>
      </c>
      <c r="P124" s="167">
        <f t="shared" si="83"/>
        <v>16.16</v>
      </c>
      <c r="Q124" s="168">
        <f t="shared" si="84"/>
        <v>128.18805999999998</v>
      </c>
      <c r="R124" s="169">
        <f t="shared" si="85"/>
        <v>81.907175999999993</v>
      </c>
      <c r="S124" s="169">
        <f t="shared" si="86"/>
        <v>210.09</v>
      </c>
      <c r="T124" s="161">
        <f t="shared" si="59"/>
        <v>1.3289974199459341E-4</v>
      </c>
    </row>
    <row r="125" spans="1:20" ht="30" customHeight="1" x14ac:dyDescent="0.25">
      <c r="A125" s="162"/>
      <c r="B125" s="162" t="s">
        <v>960</v>
      </c>
      <c r="C125" s="160" t="s">
        <v>747</v>
      </c>
      <c r="D125" s="171" t="s">
        <v>124</v>
      </c>
      <c r="E125" s="163" t="s">
        <v>443</v>
      </c>
      <c r="F125" s="160" t="s">
        <v>22</v>
      </c>
      <c r="G125" s="164">
        <v>112</v>
      </c>
      <c r="H125" s="165">
        <v>2.95</v>
      </c>
      <c r="I125" s="166">
        <v>2.34</v>
      </c>
      <c r="J125" s="167">
        <f t="shared" si="79"/>
        <v>5.29</v>
      </c>
      <c r="K125" s="168">
        <f t="shared" si="80"/>
        <v>330.40000000000003</v>
      </c>
      <c r="L125" s="169">
        <f t="shared" si="81"/>
        <v>262.08</v>
      </c>
      <c r="M125" s="170">
        <f t="shared" si="82"/>
        <v>592.48</v>
      </c>
      <c r="N125" s="165">
        <f t="shared" ref="N125:O140" si="87">+H125*(1+$T$10)</f>
        <v>3.7777700000000003</v>
      </c>
      <c r="O125" s="166">
        <f t="shared" si="87"/>
        <v>2.9966039999999996</v>
      </c>
      <c r="P125" s="167">
        <f t="shared" si="83"/>
        <v>6.77</v>
      </c>
      <c r="Q125" s="168">
        <f t="shared" si="84"/>
        <v>423.11024000000003</v>
      </c>
      <c r="R125" s="169">
        <f t="shared" si="85"/>
        <v>335.61964799999998</v>
      </c>
      <c r="S125" s="169">
        <f t="shared" si="86"/>
        <v>758.72</v>
      </c>
      <c r="T125" s="161">
        <f t="shared" si="59"/>
        <v>4.7995474437687621E-4</v>
      </c>
    </row>
    <row r="126" spans="1:20" ht="30" customHeight="1" x14ac:dyDescent="0.25">
      <c r="A126" s="162"/>
      <c r="B126" s="341" t="s">
        <v>961</v>
      </c>
      <c r="C126" s="362"/>
      <c r="D126" s="363"/>
      <c r="E126" s="343" t="s">
        <v>962</v>
      </c>
      <c r="F126" s="342"/>
      <c r="G126" s="361"/>
      <c r="H126" s="350"/>
      <c r="I126" s="351"/>
      <c r="J126" s="352">
        <f t="shared" ref="J126" si="88">TRUNC(SUM(H126:I126),2)</f>
        <v>0</v>
      </c>
      <c r="K126" s="348">
        <f>SUM(K127:K128)</f>
        <v>84.960000000000008</v>
      </c>
      <c r="L126" s="348">
        <f>SUM(L127:L128)</f>
        <v>154.64000000000001</v>
      </c>
      <c r="M126" s="348">
        <f>SUM(M127:M128)</f>
        <v>239.6</v>
      </c>
      <c r="N126" s="350">
        <f t="shared" si="87"/>
        <v>0</v>
      </c>
      <c r="O126" s="351">
        <f t="shared" si="87"/>
        <v>0</v>
      </c>
      <c r="P126" s="352">
        <f t="shared" si="83"/>
        <v>0</v>
      </c>
      <c r="Q126" s="348">
        <f>SUM(Q127:Q128)</f>
        <v>108.79977599999998</v>
      </c>
      <c r="R126" s="348">
        <f>SUM(R127:R128)</f>
        <v>198.03198400000002</v>
      </c>
      <c r="S126" s="348">
        <f>SUM(S127:S128)</f>
        <v>306.82</v>
      </c>
      <c r="T126" s="349">
        <f t="shared" si="59"/>
        <v>1.9408967032596102E-4</v>
      </c>
    </row>
    <row r="127" spans="1:20" ht="30" customHeight="1" x14ac:dyDescent="0.25">
      <c r="A127" s="162"/>
      <c r="B127" s="162" t="s">
        <v>963</v>
      </c>
      <c r="C127" s="160" t="s">
        <v>964</v>
      </c>
      <c r="D127" s="171" t="s">
        <v>212</v>
      </c>
      <c r="E127" s="163" t="s">
        <v>965</v>
      </c>
      <c r="F127" s="160" t="s">
        <v>22</v>
      </c>
      <c r="G127" s="164">
        <v>4</v>
      </c>
      <c r="H127" s="165">
        <v>14.16</v>
      </c>
      <c r="I127" s="166">
        <v>27.17</v>
      </c>
      <c r="J127" s="167">
        <f t="shared" si="77"/>
        <v>41.33</v>
      </c>
      <c r="K127" s="168">
        <f t="shared" si="80"/>
        <v>56.64</v>
      </c>
      <c r="L127" s="169">
        <f t="shared" si="81"/>
        <v>108.68</v>
      </c>
      <c r="M127" s="170">
        <f t="shared" ref="M127:M165" si="89">TRUNC(SUM(K127:L127),2)</f>
        <v>165.32</v>
      </c>
      <c r="N127" s="165">
        <f t="shared" si="87"/>
        <v>18.133295999999998</v>
      </c>
      <c r="O127" s="166">
        <f t="shared" si="87"/>
        <v>34.793902000000003</v>
      </c>
      <c r="P127" s="167">
        <f t="shared" si="78"/>
        <v>52.92</v>
      </c>
      <c r="Q127" s="168">
        <f t="shared" ref="Q127:Q128" si="90">+N127*G127</f>
        <v>72.533183999999991</v>
      </c>
      <c r="R127" s="169">
        <f t="shared" ref="R127:R128" si="91">+O127*G127</f>
        <v>139.17560800000001</v>
      </c>
      <c r="S127" s="169">
        <f t="shared" ref="S127:S128" si="92">TRUNC(SUM(Q127:R127),2)</f>
        <v>211.7</v>
      </c>
      <c r="T127" s="161">
        <f t="shared" si="59"/>
        <v>1.3391820353303549E-4</v>
      </c>
    </row>
    <row r="128" spans="1:20" ht="30" customHeight="1" x14ac:dyDescent="0.25">
      <c r="A128" s="162"/>
      <c r="B128" s="162" t="s">
        <v>1197</v>
      </c>
      <c r="C128" s="160" t="s">
        <v>966</v>
      </c>
      <c r="D128" s="171" t="s">
        <v>212</v>
      </c>
      <c r="E128" s="163" t="s">
        <v>967</v>
      </c>
      <c r="F128" s="160" t="s">
        <v>22</v>
      </c>
      <c r="G128" s="164">
        <v>2</v>
      </c>
      <c r="H128" s="165">
        <v>14.16</v>
      </c>
      <c r="I128" s="166">
        <v>22.98</v>
      </c>
      <c r="J128" s="167">
        <f t="shared" si="77"/>
        <v>37.14</v>
      </c>
      <c r="K128" s="168">
        <f t="shared" si="80"/>
        <v>28.32</v>
      </c>
      <c r="L128" s="169">
        <f t="shared" si="81"/>
        <v>45.96</v>
      </c>
      <c r="M128" s="170">
        <f t="shared" si="89"/>
        <v>74.28</v>
      </c>
      <c r="N128" s="165">
        <f t="shared" si="87"/>
        <v>18.133295999999998</v>
      </c>
      <c r="O128" s="166">
        <f t="shared" si="87"/>
        <v>29.428187999999999</v>
      </c>
      <c r="P128" s="167">
        <f t="shared" si="78"/>
        <v>47.56</v>
      </c>
      <c r="Q128" s="168">
        <f t="shared" si="90"/>
        <v>36.266591999999996</v>
      </c>
      <c r="R128" s="169">
        <f t="shared" si="91"/>
        <v>58.856375999999997</v>
      </c>
      <c r="S128" s="169">
        <f t="shared" si="92"/>
        <v>95.12</v>
      </c>
      <c r="T128" s="161">
        <f t="shared" si="59"/>
        <v>6.0171466792925538E-5</v>
      </c>
    </row>
    <row r="129" spans="1:20" ht="30" customHeight="1" x14ac:dyDescent="0.25">
      <c r="A129" s="341"/>
      <c r="B129" s="341" t="s">
        <v>969</v>
      </c>
      <c r="C129" s="362"/>
      <c r="D129" s="363"/>
      <c r="E129" s="343" t="s">
        <v>968</v>
      </c>
      <c r="F129" s="342"/>
      <c r="G129" s="361"/>
      <c r="H129" s="350"/>
      <c r="I129" s="351"/>
      <c r="J129" s="352">
        <f t="shared" si="77"/>
        <v>0</v>
      </c>
      <c r="K129" s="348">
        <f>SUM(K130:K138)</f>
        <v>8815.9</v>
      </c>
      <c r="L129" s="348">
        <f>SUM(L130:L138)</f>
        <v>10578.78</v>
      </c>
      <c r="M129" s="348">
        <f>SUM(M130:M138)</f>
        <v>19394.68</v>
      </c>
      <c r="N129" s="350">
        <f t="shared" si="87"/>
        <v>0</v>
      </c>
      <c r="O129" s="351">
        <f t="shared" si="87"/>
        <v>0</v>
      </c>
      <c r="P129" s="352">
        <f t="shared" si="78"/>
        <v>0</v>
      </c>
      <c r="Q129" s="348">
        <f>SUM(Q130:Q138)</f>
        <v>11289.641540000001</v>
      </c>
      <c r="R129" s="348">
        <f>SUM(R130:R138)</f>
        <v>13547.185667999998</v>
      </c>
      <c r="S129" s="348">
        <f>SUM(S130:S138)</f>
        <v>24836.77</v>
      </c>
      <c r="T129" s="349">
        <f t="shared" si="59"/>
        <v>1.5711363344181342E-2</v>
      </c>
    </row>
    <row r="130" spans="1:20" ht="30" customHeight="1" x14ac:dyDescent="0.25">
      <c r="A130" s="162"/>
      <c r="B130" s="162" t="s">
        <v>1370</v>
      </c>
      <c r="C130" s="160" t="s">
        <v>975</v>
      </c>
      <c r="D130" s="171" t="s">
        <v>175</v>
      </c>
      <c r="E130" s="163" t="s">
        <v>815</v>
      </c>
      <c r="F130" s="160" t="s">
        <v>225</v>
      </c>
      <c r="G130" s="164">
        <v>1056</v>
      </c>
      <c r="H130" s="165">
        <v>0.27</v>
      </c>
      <c r="I130" s="166">
        <v>0.11</v>
      </c>
      <c r="J130" s="167">
        <f t="shared" ref="J130:J131" si="93">TRUNC(SUM(H130:I130),2)</f>
        <v>0.38</v>
      </c>
      <c r="K130" s="168">
        <f t="shared" si="80"/>
        <v>285.12</v>
      </c>
      <c r="L130" s="169">
        <f t="shared" si="81"/>
        <v>116.16</v>
      </c>
      <c r="M130" s="170">
        <f t="shared" si="89"/>
        <v>401.28</v>
      </c>
      <c r="N130" s="165">
        <f t="shared" si="87"/>
        <v>0.34576200000000001</v>
      </c>
      <c r="O130" s="166">
        <f t="shared" si="87"/>
        <v>0.14086599999999999</v>
      </c>
      <c r="P130" s="167">
        <f t="shared" ref="P130:P163" si="94">TRUNC(SUM(N130:O130),2)</f>
        <v>0.48</v>
      </c>
      <c r="Q130" s="168">
        <f t="shared" ref="Q130:Q165" si="95">+N130*G130</f>
        <v>365.12467200000003</v>
      </c>
      <c r="R130" s="169">
        <f t="shared" ref="R130:R165" si="96">+O130*G130</f>
        <v>148.75449599999999</v>
      </c>
      <c r="S130" s="169">
        <f t="shared" ref="S130:S165" si="97">TRUNC(SUM(Q130:R130),2)</f>
        <v>513.87</v>
      </c>
      <c r="T130" s="161">
        <f t="shared" si="59"/>
        <v>3.2506635450883775E-4</v>
      </c>
    </row>
    <row r="131" spans="1:20" ht="30" customHeight="1" x14ac:dyDescent="0.25">
      <c r="A131" s="162"/>
      <c r="B131" s="162" t="s">
        <v>1371</v>
      </c>
      <c r="C131" s="160" t="s">
        <v>977</v>
      </c>
      <c r="D131" s="171" t="s">
        <v>175</v>
      </c>
      <c r="E131" s="163" t="s">
        <v>978</v>
      </c>
      <c r="F131" s="160" t="s">
        <v>225</v>
      </c>
      <c r="G131" s="164">
        <v>790</v>
      </c>
      <c r="H131" s="165">
        <v>0.27</v>
      </c>
      <c r="I131" s="166">
        <v>0.11</v>
      </c>
      <c r="J131" s="167">
        <f t="shared" si="93"/>
        <v>0.38</v>
      </c>
      <c r="K131" s="168">
        <f t="shared" si="80"/>
        <v>213.3</v>
      </c>
      <c r="L131" s="169">
        <f t="shared" si="81"/>
        <v>86.9</v>
      </c>
      <c r="M131" s="170">
        <f t="shared" si="89"/>
        <v>300.2</v>
      </c>
      <c r="N131" s="165">
        <f t="shared" si="87"/>
        <v>0.34576200000000001</v>
      </c>
      <c r="O131" s="166">
        <f t="shared" si="87"/>
        <v>0.14086599999999999</v>
      </c>
      <c r="P131" s="167">
        <f t="shared" si="94"/>
        <v>0.48</v>
      </c>
      <c r="Q131" s="168">
        <f t="shared" si="95"/>
        <v>273.15198000000004</v>
      </c>
      <c r="R131" s="169">
        <f t="shared" si="96"/>
        <v>111.28413999999999</v>
      </c>
      <c r="S131" s="169">
        <f t="shared" si="97"/>
        <v>384.43</v>
      </c>
      <c r="T131" s="161">
        <f t="shared" si="59"/>
        <v>2.431845771573209E-4</v>
      </c>
    </row>
    <row r="132" spans="1:20" ht="30" customHeight="1" x14ac:dyDescent="0.25">
      <c r="A132" s="162"/>
      <c r="B132" s="162" t="s">
        <v>1372</v>
      </c>
      <c r="C132" s="160" t="s">
        <v>980</v>
      </c>
      <c r="D132" s="171" t="s">
        <v>124</v>
      </c>
      <c r="E132" s="163" t="s">
        <v>981</v>
      </c>
      <c r="F132" s="160" t="s">
        <v>824</v>
      </c>
      <c r="G132" s="164">
        <v>116</v>
      </c>
      <c r="H132" s="165">
        <v>0.47</v>
      </c>
      <c r="I132" s="166">
        <v>0.22</v>
      </c>
      <c r="J132" s="167">
        <f t="shared" ref="J132:J194" si="98">TRUNC(SUM(H132:I132),2)</f>
        <v>0.69</v>
      </c>
      <c r="K132" s="168">
        <f t="shared" si="80"/>
        <v>54.519999999999996</v>
      </c>
      <c r="L132" s="169">
        <f t="shared" si="81"/>
        <v>25.52</v>
      </c>
      <c r="M132" s="170">
        <f t="shared" si="89"/>
        <v>80.040000000000006</v>
      </c>
      <c r="N132" s="165">
        <f t="shared" si="87"/>
        <v>0.60188199999999992</v>
      </c>
      <c r="O132" s="166">
        <f t="shared" si="87"/>
        <v>0.28173199999999998</v>
      </c>
      <c r="P132" s="167">
        <f t="shared" si="94"/>
        <v>0.88</v>
      </c>
      <c r="Q132" s="168">
        <f t="shared" si="95"/>
        <v>69.818311999999992</v>
      </c>
      <c r="R132" s="169">
        <f t="shared" si="96"/>
        <v>32.680911999999999</v>
      </c>
      <c r="S132" s="169">
        <f t="shared" si="97"/>
        <v>102.49</v>
      </c>
      <c r="T132" s="161">
        <f t="shared" si="59"/>
        <v>6.4833616816725593E-5</v>
      </c>
    </row>
    <row r="133" spans="1:20" ht="30" customHeight="1" x14ac:dyDescent="0.25">
      <c r="A133" s="162"/>
      <c r="B133" s="162" t="s">
        <v>1373</v>
      </c>
      <c r="C133" s="160" t="s">
        <v>750</v>
      </c>
      <c r="D133" s="171" t="s">
        <v>124</v>
      </c>
      <c r="E133" s="163" t="s">
        <v>460</v>
      </c>
      <c r="F133" s="160" t="s">
        <v>225</v>
      </c>
      <c r="G133" s="164">
        <v>88</v>
      </c>
      <c r="H133" s="165">
        <v>2.95</v>
      </c>
      <c r="I133" s="166">
        <v>1.29</v>
      </c>
      <c r="J133" s="167">
        <f t="shared" si="98"/>
        <v>4.24</v>
      </c>
      <c r="K133" s="168">
        <f t="shared" si="80"/>
        <v>259.60000000000002</v>
      </c>
      <c r="L133" s="169">
        <f t="shared" si="81"/>
        <v>113.52000000000001</v>
      </c>
      <c r="M133" s="170">
        <f t="shared" si="89"/>
        <v>373.12</v>
      </c>
      <c r="N133" s="165">
        <f t="shared" si="87"/>
        <v>3.7777700000000003</v>
      </c>
      <c r="O133" s="166">
        <f t="shared" si="87"/>
        <v>1.6519740000000001</v>
      </c>
      <c r="P133" s="167">
        <f t="shared" si="94"/>
        <v>5.42</v>
      </c>
      <c r="Q133" s="168">
        <f t="shared" si="95"/>
        <v>332.44376</v>
      </c>
      <c r="R133" s="169">
        <f t="shared" si="96"/>
        <v>145.37371200000001</v>
      </c>
      <c r="S133" s="169">
        <f t="shared" si="97"/>
        <v>477.81</v>
      </c>
      <c r="T133" s="161">
        <f t="shared" si="59"/>
        <v>3.0225534638696119E-4</v>
      </c>
    </row>
    <row r="134" spans="1:20" ht="30" customHeight="1" x14ac:dyDescent="0.25">
      <c r="A134" s="162"/>
      <c r="B134" s="162" t="s">
        <v>1374</v>
      </c>
      <c r="C134" s="160" t="s">
        <v>984</v>
      </c>
      <c r="D134" s="171" t="s">
        <v>124</v>
      </c>
      <c r="E134" s="163" t="s">
        <v>985</v>
      </c>
      <c r="F134" s="160" t="s">
        <v>22</v>
      </c>
      <c r="G134" s="164">
        <v>18</v>
      </c>
      <c r="H134" s="165">
        <v>2.97</v>
      </c>
      <c r="I134" s="166">
        <v>1.45</v>
      </c>
      <c r="J134" s="167">
        <f t="shared" si="98"/>
        <v>4.42</v>
      </c>
      <c r="K134" s="168">
        <f t="shared" si="80"/>
        <v>53.46</v>
      </c>
      <c r="L134" s="169">
        <f t="shared" si="81"/>
        <v>26.099999999999998</v>
      </c>
      <c r="M134" s="170">
        <f t="shared" si="89"/>
        <v>79.56</v>
      </c>
      <c r="N134" s="165">
        <f t="shared" si="87"/>
        <v>3.803382</v>
      </c>
      <c r="O134" s="166">
        <f t="shared" si="87"/>
        <v>1.8568699999999998</v>
      </c>
      <c r="P134" s="167">
        <f t="shared" si="94"/>
        <v>5.66</v>
      </c>
      <c r="Q134" s="168">
        <f t="shared" si="95"/>
        <v>68.460875999999999</v>
      </c>
      <c r="R134" s="169">
        <f t="shared" si="96"/>
        <v>33.423659999999998</v>
      </c>
      <c r="S134" s="169">
        <f t="shared" si="97"/>
        <v>101.88</v>
      </c>
      <c r="T134" s="161">
        <f t="shared" si="59"/>
        <v>6.4447740084769267E-5</v>
      </c>
    </row>
    <row r="135" spans="1:20" ht="30" customHeight="1" x14ac:dyDescent="0.25">
      <c r="A135" s="162"/>
      <c r="B135" s="162" t="s">
        <v>1375</v>
      </c>
      <c r="C135" s="160" t="s">
        <v>751</v>
      </c>
      <c r="D135" s="171" t="s">
        <v>124</v>
      </c>
      <c r="E135" s="163" t="s">
        <v>480</v>
      </c>
      <c r="F135" s="160" t="s">
        <v>225</v>
      </c>
      <c r="G135" s="164">
        <v>452</v>
      </c>
      <c r="H135" s="165">
        <v>0.16</v>
      </c>
      <c r="I135" s="166">
        <v>0.44</v>
      </c>
      <c r="J135" s="167">
        <f t="shared" si="98"/>
        <v>0.6</v>
      </c>
      <c r="K135" s="168">
        <f t="shared" si="80"/>
        <v>72.320000000000007</v>
      </c>
      <c r="L135" s="169">
        <f t="shared" si="81"/>
        <v>198.88</v>
      </c>
      <c r="M135" s="170">
        <f t="shared" si="89"/>
        <v>271.2</v>
      </c>
      <c r="N135" s="165">
        <f t="shared" si="87"/>
        <v>0.20489599999999999</v>
      </c>
      <c r="O135" s="166">
        <f t="shared" si="87"/>
        <v>0.56346399999999996</v>
      </c>
      <c r="P135" s="167">
        <f t="shared" si="94"/>
        <v>0.76</v>
      </c>
      <c r="Q135" s="168">
        <f t="shared" si="95"/>
        <v>92.612991999999991</v>
      </c>
      <c r="R135" s="169">
        <f t="shared" si="96"/>
        <v>254.68572799999998</v>
      </c>
      <c r="S135" s="169">
        <f t="shared" si="97"/>
        <v>347.29</v>
      </c>
      <c r="T135" s="161">
        <f t="shared" si="59"/>
        <v>2.1969037744443975E-4</v>
      </c>
    </row>
    <row r="136" spans="1:20" ht="30" customHeight="1" x14ac:dyDescent="0.25">
      <c r="A136" s="162"/>
      <c r="B136" s="162" t="s">
        <v>1376</v>
      </c>
      <c r="C136" s="160" t="s">
        <v>988</v>
      </c>
      <c r="D136" s="171" t="s">
        <v>874</v>
      </c>
      <c r="E136" s="163" t="s">
        <v>989</v>
      </c>
      <c r="F136" s="160" t="s">
        <v>824</v>
      </c>
      <c r="G136" s="164">
        <v>912</v>
      </c>
      <c r="H136" s="165">
        <v>0.2</v>
      </c>
      <c r="I136" s="166">
        <v>0.18</v>
      </c>
      <c r="J136" s="167">
        <f t="shared" si="98"/>
        <v>0.38</v>
      </c>
      <c r="K136" s="168">
        <f t="shared" si="80"/>
        <v>182.4</v>
      </c>
      <c r="L136" s="169">
        <f t="shared" si="81"/>
        <v>164.16</v>
      </c>
      <c r="M136" s="170">
        <f t="shared" si="89"/>
        <v>346.56</v>
      </c>
      <c r="N136" s="165">
        <f t="shared" si="87"/>
        <v>0.25612000000000001</v>
      </c>
      <c r="O136" s="166">
        <f t="shared" si="87"/>
        <v>0.23050799999999999</v>
      </c>
      <c r="P136" s="167">
        <f t="shared" si="94"/>
        <v>0.48</v>
      </c>
      <c r="Q136" s="168">
        <f t="shared" si="95"/>
        <v>233.58144000000001</v>
      </c>
      <c r="R136" s="169">
        <f t="shared" si="96"/>
        <v>210.223296</v>
      </c>
      <c r="S136" s="169">
        <f t="shared" si="97"/>
        <v>443.8</v>
      </c>
      <c r="T136" s="161">
        <f t="shared" si="59"/>
        <v>2.8074113711838049E-4</v>
      </c>
    </row>
    <row r="137" spans="1:20" ht="30" hidden="1" customHeight="1" x14ac:dyDescent="0.25">
      <c r="A137" s="162"/>
      <c r="B137" s="162" t="s">
        <v>1377</v>
      </c>
      <c r="C137" s="160" t="s">
        <v>990</v>
      </c>
      <c r="D137" s="171" t="s">
        <v>175</v>
      </c>
      <c r="E137" s="163" t="s">
        <v>991</v>
      </c>
      <c r="F137" s="160" t="s">
        <v>225</v>
      </c>
      <c r="G137" s="164">
        <v>1384</v>
      </c>
      <c r="H137" s="165">
        <v>2.79</v>
      </c>
      <c r="I137" s="166">
        <v>0.94</v>
      </c>
      <c r="J137" s="167">
        <f t="shared" si="98"/>
        <v>3.73</v>
      </c>
      <c r="K137" s="168">
        <f t="shared" si="80"/>
        <v>3861.36</v>
      </c>
      <c r="L137" s="169">
        <f t="shared" si="81"/>
        <v>1300.96</v>
      </c>
      <c r="M137" s="170">
        <f t="shared" si="89"/>
        <v>5162.32</v>
      </c>
      <c r="N137" s="165">
        <f t="shared" si="87"/>
        <v>3.5728740000000001</v>
      </c>
      <c r="O137" s="166">
        <f t="shared" si="87"/>
        <v>1.2037639999999998</v>
      </c>
      <c r="P137" s="167">
        <f t="shared" si="94"/>
        <v>4.7699999999999996</v>
      </c>
      <c r="Q137" s="168">
        <f t="shared" si="95"/>
        <v>4944.8576160000002</v>
      </c>
      <c r="R137" s="169">
        <f t="shared" si="96"/>
        <v>1666.0093759999997</v>
      </c>
      <c r="S137" s="169">
        <f t="shared" si="97"/>
        <v>6610.86</v>
      </c>
      <c r="T137" s="161">
        <f t="shared" si="59"/>
        <v>4.1819295938044544E-3</v>
      </c>
    </row>
    <row r="138" spans="1:20" ht="30" hidden="1" customHeight="1" x14ac:dyDescent="0.25">
      <c r="A138" s="162"/>
      <c r="B138" s="162" t="s">
        <v>1378</v>
      </c>
      <c r="C138" s="160" t="s">
        <v>992</v>
      </c>
      <c r="D138" s="171" t="s">
        <v>175</v>
      </c>
      <c r="E138" s="163" t="s">
        <v>993</v>
      </c>
      <c r="F138" s="160" t="s">
        <v>225</v>
      </c>
      <c r="G138" s="164">
        <v>342</v>
      </c>
      <c r="H138" s="165">
        <v>11.21</v>
      </c>
      <c r="I138" s="166">
        <v>24.99</v>
      </c>
      <c r="J138" s="167">
        <f t="shared" si="98"/>
        <v>36.200000000000003</v>
      </c>
      <c r="K138" s="168">
        <f t="shared" si="80"/>
        <v>3833.82</v>
      </c>
      <c r="L138" s="169">
        <f t="shared" si="81"/>
        <v>8546.58</v>
      </c>
      <c r="M138" s="170">
        <f t="shared" si="89"/>
        <v>12380.4</v>
      </c>
      <c r="N138" s="165">
        <f t="shared" si="87"/>
        <v>14.355526000000001</v>
      </c>
      <c r="O138" s="166">
        <f t="shared" si="87"/>
        <v>32.002193999999996</v>
      </c>
      <c r="P138" s="167">
        <f t="shared" si="94"/>
        <v>46.35</v>
      </c>
      <c r="Q138" s="168">
        <f t="shared" si="95"/>
        <v>4909.589892</v>
      </c>
      <c r="R138" s="169">
        <f t="shared" si="96"/>
        <v>10944.750347999998</v>
      </c>
      <c r="S138" s="169">
        <f t="shared" si="97"/>
        <v>15854.34</v>
      </c>
      <c r="T138" s="161">
        <f t="shared" si="59"/>
        <v>1.0029214600859452E-2</v>
      </c>
    </row>
    <row r="139" spans="1:20" ht="30" hidden="1" customHeight="1" x14ac:dyDescent="0.25">
      <c r="A139" s="162"/>
      <c r="B139" s="341" t="s">
        <v>1379</v>
      </c>
      <c r="C139" s="362"/>
      <c r="D139" s="363"/>
      <c r="E139" s="343" t="s">
        <v>999</v>
      </c>
      <c r="F139" s="342"/>
      <c r="G139" s="361"/>
      <c r="H139" s="350"/>
      <c r="I139" s="351"/>
      <c r="J139" s="352">
        <f t="shared" si="98"/>
        <v>0</v>
      </c>
      <c r="K139" s="348">
        <f>SUM(K140:K141)</f>
        <v>11081.728000000001</v>
      </c>
      <c r="L139" s="348">
        <f t="shared" ref="L139:M139" si="99">SUM(L140:L141)</f>
        <v>267583.46999999997</v>
      </c>
      <c r="M139" s="348">
        <f t="shared" si="99"/>
        <v>278665.18999999994</v>
      </c>
      <c r="N139" s="350">
        <f t="shared" si="87"/>
        <v>0</v>
      </c>
      <c r="O139" s="351">
        <f t="shared" si="87"/>
        <v>0</v>
      </c>
      <c r="P139" s="352">
        <f t="shared" ref="P139" si="100">TRUNC(SUM(N139:O139),2)</f>
        <v>0</v>
      </c>
      <c r="Q139" s="348">
        <f>SUM(Q140:Q141)</f>
        <v>14191.260876800001</v>
      </c>
      <c r="R139" s="348">
        <f t="shared" ref="R139:S139" si="101">SUM(R140:R141)</f>
        <v>342667.39168200002</v>
      </c>
      <c r="S139" s="348">
        <f t="shared" si="101"/>
        <v>356858.63999999996</v>
      </c>
      <c r="T139" s="349">
        <f t="shared" si="59"/>
        <v>0.22574335372717164</v>
      </c>
    </row>
    <row r="140" spans="1:20" ht="30" hidden="1" customHeight="1" x14ac:dyDescent="0.25">
      <c r="A140" s="162"/>
      <c r="B140" s="162" t="s">
        <v>994</v>
      </c>
      <c r="C140" s="160" t="s">
        <v>970</v>
      </c>
      <c r="D140" s="171" t="s">
        <v>212</v>
      </c>
      <c r="E140" s="163" t="s">
        <v>971</v>
      </c>
      <c r="F140" s="160" t="s">
        <v>22</v>
      </c>
      <c r="G140" s="164">
        <v>7</v>
      </c>
      <c r="H140" s="165">
        <v>2.2400000000000002</v>
      </c>
      <c r="I140" s="166">
        <v>31.97</v>
      </c>
      <c r="J140" s="167">
        <f t="shared" si="98"/>
        <v>34.21</v>
      </c>
      <c r="K140" s="168">
        <f t="shared" ref="K140:K165" si="102">+H140*G140</f>
        <v>15.680000000000001</v>
      </c>
      <c r="L140" s="169">
        <f t="shared" ref="L140:L165" si="103">+I140*G140</f>
        <v>223.79</v>
      </c>
      <c r="M140" s="170">
        <f t="shared" si="89"/>
        <v>239.47</v>
      </c>
      <c r="N140" s="165">
        <f t="shared" si="87"/>
        <v>2.868544</v>
      </c>
      <c r="O140" s="166">
        <f t="shared" si="87"/>
        <v>40.940781999999999</v>
      </c>
      <c r="P140" s="167">
        <f t="shared" si="94"/>
        <v>43.8</v>
      </c>
      <c r="Q140" s="168">
        <f t="shared" si="95"/>
        <v>20.079808</v>
      </c>
      <c r="R140" s="169">
        <f t="shared" si="96"/>
        <v>286.58547399999998</v>
      </c>
      <c r="S140" s="169">
        <f t="shared" si="97"/>
        <v>306.66000000000003</v>
      </c>
      <c r="T140" s="161">
        <f t="shared" si="59"/>
        <v>1.9398845675692333E-4</v>
      </c>
    </row>
    <row r="141" spans="1:20" ht="30" hidden="1" customHeight="1" x14ac:dyDescent="0.25">
      <c r="A141" s="341"/>
      <c r="B141" s="162" t="s">
        <v>1380</v>
      </c>
      <c r="C141" s="160">
        <v>91857</v>
      </c>
      <c r="D141" s="171" t="s">
        <v>31</v>
      </c>
      <c r="E141" s="163" t="s">
        <v>934</v>
      </c>
      <c r="F141" s="160" t="s">
        <v>35</v>
      </c>
      <c r="G141" s="164">
        <v>761.6</v>
      </c>
      <c r="H141" s="165">
        <v>14.53</v>
      </c>
      <c r="I141" s="166">
        <v>351.05</v>
      </c>
      <c r="J141" s="167">
        <f t="shared" ref="J141" si="104">TRUNC(SUM(H141:I141),2)</f>
        <v>365.58</v>
      </c>
      <c r="K141" s="168">
        <f t="shared" si="102"/>
        <v>11066.048000000001</v>
      </c>
      <c r="L141" s="169">
        <f t="shared" si="103"/>
        <v>267359.68</v>
      </c>
      <c r="M141" s="170">
        <f t="shared" si="89"/>
        <v>278425.71999999997</v>
      </c>
      <c r="N141" s="165">
        <f t="shared" ref="N141:O156" si="105">+H141*(1+$T$10)</f>
        <v>18.607118</v>
      </c>
      <c r="O141" s="166">
        <f t="shared" si="105"/>
        <v>449.55462999999997</v>
      </c>
      <c r="P141" s="167">
        <f t="shared" ref="P141" si="106">TRUNC(SUM(N141:O141),2)</f>
        <v>468.16</v>
      </c>
      <c r="Q141" s="168">
        <f t="shared" si="95"/>
        <v>14171.181068800001</v>
      </c>
      <c r="R141" s="169">
        <f t="shared" si="96"/>
        <v>342380.80620799999</v>
      </c>
      <c r="S141" s="169">
        <f t="shared" si="97"/>
        <v>356551.98</v>
      </c>
      <c r="T141" s="161">
        <f t="shared" si="59"/>
        <v>0.22554936527041472</v>
      </c>
    </row>
    <row r="142" spans="1:20" ht="30" hidden="1" customHeight="1" x14ac:dyDescent="0.25">
      <c r="A142" s="341"/>
      <c r="B142" s="341" t="s">
        <v>1000</v>
      </c>
      <c r="C142" s="362"/>
      <c r="D142" s="363"/>
      <c r="E142" s="343" t="s">
        <v>1003</v>
      </c>
      <c r="F142" s="342"/>
      <c r="G142" s="361"/>
      <c r="H142" s="350"/>
      <c r="I142" s="351"/>
      <c r="J142" s="352">
        <f t="shared" si="98"/>
        <v>0</v>
      </c>
      <c r="K142" s="348">
        <f>SUM(K143:K148)</f>
        <v>2533.9900000000007</v>
      </c>
      <c r="L142" s="348">
        <f>SUM(L143:L148)</f>
        <v>11800.16</v>
      </c>
      <c r="M142" s="348">
        <f>SUM(M143:M148)</f>
        <v>14334.150000000001</v>
      </c>
      <c r="N142" s="350">
        <f t="shared" si="105"/>
        <v>0</v>
      </c>
      <c r="O142" s="351">
        <f t="shared" si="105"/>
        <v>0</v>
      </c>
      <c r="P142" s="352">
        <f t="shared" si="94"/>
        <v>0</v>
      </c>
      <c r="Q142" s="348">
        <f>SUM(Q143:Q148)</f>
        <v>3245.0275940000001</v>
      </c>
      <c r="R142" s="348">
        <f>SUM(R143:R148)</f>
        <v>15111.284895999999</v>
      </c>
      <c r="S142" s="348">
        <f>SUM(S143:S148)</f>
        <v>18356.29</v>
      </c>
      <c r="T142" s="349">
        <f t="shared" si="59"/>
        <v>1.16119101574465E-2</v>
      </c>
    </row>
    <row r="143" spans="1:20" ht="30" customHeight="1" x14ac:dyDescent="0.25">
      <c r="A143" s="341"/>
      <c r="B143" s="162" t="s">
        <v>1381</v>
      </c>
      <c r="C143" s="160" t="s">
        <v>754</v>
      </c>
      <c r="D143" s="171" t="s">
        <v>124</v>
      </c>
      <c r="E143" s="163" t="s">
        <v>541</v>
      </c>
      <c r="F143" s="160" t="s">
        <v>22</v>
      </c>
      <c r="G143" s="164">
        <v>17</v>
      </c>
      <c r="H143" s="165">
        <v>8.1999999999999993</v>
      </c>
      <c r="I143" s="166">
        <v>72.69</v>
      </c>
      <c r="J143" s="167">
        <f t="shared" si="98"/>
        <v>80.89</v>
      </c>
      <c r="K143" s="168">
        <f t="shared" si="102"/>
        <v>139.39999999999998</v>
      </c>
      <c r="L143" s="169">
        <f t="shared" si="103"/>
        <v>1235.73</v>
      </c>
      <c r="M143" s="170">
        <f t="shared" si="89"/>
        <v>1375.13</v>
      </c>
      <c r="N143" s="165">
        <f t="shared" si="105"/>
        <v>10.500919999999999</v>
      </c>
      <c r="O143" s="166">
        <f t="shared" si="105"/>
        <v>93.08681399999999</v>
      </c>
      <c r="P143" s="167">
        <f t="shared" si="94"/>
        <v>103.58</v>
      </c>
      <c r="Q143" s="168">
        <f t="shared" si="95"/>
        <v>178.51563999999999</v>
      </c>
      <c r="R143" s="169">
        <f t="shared" si="96"/>
        <v>1582.4758379999998</v>
      </c>
      <c r="S143" s="169">
        <f t="shared" si="97"/>
        <v>1760.99</v>
      </c>
      <c r="T143" s="161">
        <f t="shared" si="59"/>
        <v>1.1139755183733593E-3</v>
      </c>
    </row>
    <row r="144" spans="1:20" ht="30" customHeight="1" x14ac:dyDescent="0.25">
      <c r="A144" s="341"/>
      <c r="B144" s="162" t="s">
        <v>1382</v>
      </c>
      <c r="C144" s="160">
        <v>59503</v>
      </c>
      <c r="D144" s="171" t="s">
        <v>212</v>
      </c>
      <c r="E144" s="163" t="s">
        <v>973</v>
      </c>
      <c r="F144" s="160" t="s">
        <v>22</v>
      </c>
      <c r="G144" s="164">
        <v>192</v>
      </c>
      <c r="H144" s="165">
        <v>8.89</v>
      </c>
      <c r="I144" s="166">
        <v>43.69</v>
      </c>
      <c r="J144" s="167">
        <f t="shared" si="98"/>
        <v>52.58</v>
      </c>
      <c r="K144" s="168">
        <f t="shared" si="102"/>
        <v>1706.88</v>
      </c>
      <c r="L144" s="169">
        <f t="shared" si="103"/>
        <v>8388.48</v>
      </c>
      <c r="M144" s="170">
        <f t="shared" si="89"/>
        <v>10095.36</v>
      </c>
      <c r="N144" s="165">
        <f t="shared" si="105"/>
        <v>11.384534</v>
      </c>
      <c r="O144" s="166">
        <f t="shared" si="105"/>
        <v>55.949413999999997</v>
      </c>
      <c r="P144" s="167">
        <f t="shared" si="94"/>
        <v>67.33</v>
      </c>
      <c r="Q144" s="168">
        <f t="shared" si="95"/>
        <v>2185.830528</v>
      </c>
      <c r="R144" s="169">
        <f t="shared" si="96"/>
        <v>10742.287488</v>
      </c>
      <c r="S144" s="169">
        <f t="shared" si="97"/>
        <v>12928.11</v>
      </c>
      <c r="T144" s="161">
        <f t="shared" ref="T144:T194" si="107">+S144/$S$198</f>
        <v>8.1781259625766257E-3</v>
      </c>
    </row>
    <row r="145" spans="1:20" ht="30" customHeight="1" x14ac:dyDescent="0.25">
      <c r="A145" s="341"/>
      <c r="B145" s="162" t="s">
        <v>1383</v>
      </c>
      <c r="C145" s="160" t="s">
        <v>1005</v>
      </c>
      <c r="D145" s="171" t="s">
        <v>212</v>
      </c>
      <c r="E145" s="163" t="s">
        <v>1006</v>
      </c>
      <c r="F145" s="160" t="s">
        <v>22</v>
      </c>
      <c r="G145" s="164">
        <v>11</v>
      </c>
      <c r="H145" s="165">
        <v>1.73</v>
      </c>
      <c r="I145" s="166">
        <v>2.89</v>
      </c>
      <c r="J145" s="167">
        <f t="shared" si="98"/>
        <v>4.62</v>
      </c>
      <c r="K145" s="168">
        <f t="shared" si="102"/>
        <v>19.03</v>
      </c>
      <c r="L145" s="169">
        <f t="shared" si="103"/>
        <v>31.790000000000003</v>
      </c>
      <c r="M145" s="170">
        <f t="shared" si="89"/>
        <v>50.82</v>
      </c>
      <c r="N145" s="165">
        <f t="shared" si="105"/>
        <v>2.2154379999999998</v>
      </c>
      <c r="O145" s="166">
        <f t="shared" si="105"/>
        <v>3.7009340000000002</v>
      </c>
      <c r="P145" s="167">
        <f t="shared" si="94"/>
        <v>5.91</v>
      </c>
      <c r="Q145" s="168">
        <f t="shared" si="95"/>
        <v>24.369817999999999</v>
      </c>
      <c r="R145" s="169">
        <f t="shared" si="96"/>
        <v>40.710273999999998</v>
      </c>
      <c r="S145" s="169">
        <f t="shared" si="97"/>
        <v>65.08</v>
      </c>
      <c r="T145" s="161">
        <f t="shared" si="107"/>
        <v>4.116861920609329E-5</v>
      </c>
    </row>
    <row r="146" spans="1:20" ht="30" customHeight="1" x14ac:dyDescent="0.25">
      <c r="A146" s="341"/>
      <c r="B146" s="162" t="s">
        <v>1384</v>
      </c>
      <c r="C146" s="160">
        <v>72596</v>
      </c>
      <c r="D146" s="171" t="s">
        <v>874</v>
      </c>
      <c r="E146" s="163" t="s">
        <v>1008</v>
      </c>
      <c r="F146" s="160" t="s">
        <v>824</v>
      </c>
      <c r="G146" s="164">
        <v>25</v>
      </c>
      <c r="H146" s="165">
        <v>11.39</v>
      </c>
      <c r="I146" s="166">
        <v>15.8</v>
      </c>
      <c r="J146" s="167">
        <f t="shared" si="98"/>
        <v>27.19</v>
      </c>
      <c r="K146" s="168">
        <f t="shared" si="102"/>
        <v>284.75</v>
      </c>
      <c r="L146" s="169">
        <f t="shared" si="103"/>
        <v>395</v>
      </c>
      <c r="M146" s="170">
        <f t="shared" si="89"/>
        <v>679.75</v>
      </c>
      <c r="N146" s="165">
        <f t="shared" si="105"/>
        <v>14.586034</v>
      </c>
      <c r="O146" s="166">
        <f t="shared" si="105"/>
        <v>20.23348</v>
      </c>
      <c r="P146" s="167">
        <f t="shared" si="94"/>
        <v>34.81</v>
      </c>
      <c r="Q146" s="168">
        <f t="shared" si="95"/>
        <v>364.65084999999999</v>
      </c>
      <c r="R146" s="169">
        <f t="shared" si="96"/>
        <v>505.83699999999999</v>
      </c>
      <c r="S146" s="169">
        <f t="shared" si="97"/>
        <v>870.48</v>
      </c>
      <c r="T146" s="161">
        <f t="shared" si="107"/>
        <v>5.5065242234972475E-4</v>
      </c>
    </row>
    <row r="147" spans="1:20" ht="30" customHeight="1" x14ac:dyDescent="0.25">
      <c r="A147" s="341"/>
      <c r="B147" s="162" t="s">
        <v>1385</v>
      </c>
      <c r="C147" s="160">
        <v>72425</v>
      </c>
      <c r="D147" s="171" t="s">
        <v>874</v>
      </c>
      <c r="E147" s="163" t="s">
        <v>1010</v>
      </c>
      <c r="F147" s="160" t="s">
        <v>824</v>
      </c>
      <c r="G147" s="164">
        <v>21</v>
      </c>
      <c r="H147" s="165">
        <v>0.91</v>
      </c>
      <c r="I147" s="166">
        <v>3.64</v>
      </c>
      <c r="J147" s="167">
        <f t="shared" si="98"/>
        <v>4.55</v>
      </c>
      <c r="K147" s="168">
        <f t="shared" si="102"/>
        <v>19.11</v>
      </c>
      <c r="L147" s="169">
        <f t="shared" si="103"/>
        <v>76.44</v>
      </c>
      <c r="M147" s="170">
        <f t="shared" si="89"/>
        <v>95.55</v>
      </c>
      <c r="N147" s="165">
        <f t="shared" si="105"/>
        <v>1.165346</v>
      </c>
      <c r="O147" s="166">
        <f t="shared" si="105"/>
        <v>4.661384</v>
      </c>
      <c r="P147" s="167">
        <f t="shared" si="94"/>
        <v>5.82</v>
      </c>
      <c r="Q147" s="168">
        <f t="shared" si="95"/>
        <v>24.472266000000001</v>
      </c>
      <c r="R147" s="169">
        <f t="shared" si="96"/>
        <v>97.889064000000005</v>
      </c>
      <c r="S147" s="169">
        <f t="shared" si="97"/>
        <v>122.36</v>
      </c>
      <c r="T147" s="161">
        <f t="shared" si="107"/>
        <v>7.7403076921597649E-5</v>
      </c>
    </row>
    <row r="148" spans="1:20" ht="30" customHeight="1" x14ac:dyDescent="0.25">
      <c r="A148" s="341"/>
      <c r="B148" s="162" t="s">
        <v>1386</v>
      </c>
      <c r="C148" s="160" t="s">
        <v>1011</v>
      </c>
      <c r="D148" s="171" t="s">
        <v>264</v>
      </c>
      <c r="E148" s="163" t="s">
        <v>1012</v>
      </c>
      <c r="F148" s="160" t="s">
        <v>22</v>
      </c>
      <c r="G148" s="164">
        <v>29</v>
      </c>
      <c r="H148" s="165">
        <v>12.58</v>
      </c>
      <c r="I148" s="166">
        <v>57.68</v>
      </c>
      <c r="J148" s="167">
        <f t="shared" si="98"/>
        <v>70.260000000000005</v>
      </c>
      <c r="K148" s="168">
        <f t="shared" si="102"/>
        <v>364.82</v>
      </c>
      <c r="L148" s="169">
        <f t="shared" si="103"/>
        <v>1672.72</v>
      </c>
      <c r="M148" s="170">
        <f t="shared" si="89"/>
        <v>2037.54</v>
      </c>
      <c r="N148" s="165">
        <f t="shared" si="105"/>
        <v>16.109947999999999</v>
      </c>
      <c r="O148" s="166">
        <f t="shared" si="105"/>
        <v>73.865008000000003</v>
      </c>
      <c r="P148" s="167">
        <f t="shared" si="94"/>
        <v>89.97</v>
      </c>
      <c r="Q148" s="168">
        <f t="shared" si="95"/>
        <v>467.188492</v>
      </c>
      <c r="R148" s="169">
        <f t="shared" si="96"/>
        <v>2142.0852319999999</v>
      </c>
      <c r="S148" s="169">
        <f t="shared" si="97"/>
        <v>2609.27</v>
      </c>
      <c r="T148" s="161">
        <f t="shared" si="107"/>
        <v>1.6505845580191002E-3</v>
      </c>
    </row>
    <row r="149" spans="1:20" ht="30" customHeight="1" x14ac:dyDescent="0.25">
      <c r="A149" s="341"/>
      <c r="B149" s="341" t="s">
        <v>1002</v>
      </c>
      <c r="C149" s="362"/>
      <c r="D149" s="363"/>
      <c r="E149" s="343" t="s">
        <v>1016</v>
      </c>
      <c r="F149" s="342"/>
      <c r="G149" s="361"/>
      <c r="H149" s="350"/>
      <c r="I149" s="351"/>
      <c r="J149" s="352">
        <f t="shared" si="98"/>
        <v>0</v>
      </c>
      <c r="K149" s="348">
        <f>SUM(K150:K152)</f>
        <v>16941.308000000001</v>
      </c>
      <c r="L149" s="348">
        <f>SUM(L150:L152)</f>
        <v>14854.406000000001</v>
      </c>
      <c r="M149" s="348">
        <f>SUM(M150:M152)</f>
        <v>31795.71</v>
      </c>
      <c r="N149" s="350">
        <f t="shared" si="105"/>
        <v>0</v>
      </c>
      <c r="O149" s="351">
        <f t="shared" si="105"/>
        <v>0</v>
      </c>
      <c r="P149" s="352">
        <f t="shared" ref="P149" si="108">TRUNC(SUM(N149:O149),2)</f>
        <v>0</v>
      </c>
      <c r="Q149" s="348">
        <f>SUM(Q150:Q152)</f>
        <v>21695.039024800004</v>
      </c>
      <c r="R149" s="348">
        <f>SUM(R150:R152)</f>
        <v>19022.552323600001</v>
      </c>
      <c r="S149" s="348">
        <f>SUM(S150:S152)</f>
        <v>40717.57</v>
      </c>
      <c r="T149" s="349">
        <f t="shared" si="107"/>
        <v>2.5757316139020405E-2</v>
      </c>
    </row>
    <row r="150" spans="1:20" ht="30" customHeight="1" x14ac:dyDescent="0.25">
      <c r="A150" s="341"/>
      <c r="B150" s="162" t="s">
        <v>1387</v>
      </c>
      <c r="C150" s="160" t="s">
        <v>1352</v>
      </c>
      <c r="D150" s="171" t="s">
        <v>124</v>
      </c>
      <c r="E150" s="163" t="s">
        <v>302</v>
      </c>
      <c r="F150" s="160" t="s">
        <v>35</v>
      </c>
      <c r="G150" s="164">
        <v>588.6</v>
      </c>
      <c r="H150" s="165">
        <v>26.53</v>
      </c>
      <c r="I150" s="166">
        <v>22.71</v>
      </c>
      <c r="J150" s="167">
        <f t="shared" si="98"/>
        <v>49.24</v>
      </c>
      <c r="K150" s="168">
        <f t="shared" si="102"/>
        <v>15615.558000000001</v>
      </c>
      <c r="L150" s="169">
        <f t="shared" si="103"/>
        <v>13367.106000000002</v>
      </c>
      <c r="M150" s="170">
        <f t="shared" si="89"/>
        <v>28982.66</v>
      </c>
      <c r="N150" s="165">
        <f t="shared" si="105"/>
        <v>33.974318000000004</v>
      </c>
      <c r="O150" s="166">
        <f t="shared" si="105"/>
        <v>29.082426000000002</v>
      </c>
      <c r="P150" s="167">
        <f t="shared" si="94"/>
        <v>63.05</v>
      </c>
      <c r="Q150" s="168">
        <f t="shared" si="95"/>
        <v>19997.283574800003</v>
      </c>
      <c r="R150" s="169">
        <f t="shared" si="96"/>
        <v>17117.915943600001</v>
      </c>
      <c r="S150" s="169">
        <f t="shared" si="97"/>
        <v>37115.19</v>
      </c>
      <c r="T150" s="161">
        <f t="shared" si="107"/>
        <v>2.3478505283832232E-2</v>
      </c>
    </row>
    <row r="151" spans="1:20" ht="30" customHeight="1" x14ac:dyDescent="0.25">
      <c r="A151" s="341"/>
      <c r="B151" s="162" t="s">
        <v>1388</v>
      </c>
      <c r="C151" s="160" t="s">
        <v>922</v>
      </c>
      <c r="D151" s="171" t="s">
        <v>175</v>
      </c>
      <c r="E151" s="163" t="s">
        <v>923</v>
      </c>
      <c r="F151" s="160" t="s">
        <v>225</v>
      </c>
      <c r="G151" s="164">
        <v>232</v>
      </c>
      <c r="H151" s="165">
        <v>5.6</v>
      </c>
      <c r="I151" s="166">
        <v>6.32</v>
      </c>
      <c r="J151" s="167">
        <f t="shared" si="98"/>
        <v>11.92</v>
      </c>
      <c r="K151" s="168">
        <f t="shared" si="102"/>
        <v>1299.1999999999998</v>
      </c>
      <c r="L151" s="169">
        <f t="shared" si="103"/>
        <v>1466.24</v>
      </c>
      <c r="M151" s="170">
        <f t="shared" si="89"/>
        <v>2765.44</v>
      </c>
      <c r="N151" s="165">
        <f t="shared" si="105"/>
        <v>7.1713599999999991</v>
      </c>
      <c r="O151" s="166">
        <f t="shared" si="105"/>
        <v>8.0933919999999997</v>
      </c>
      <c r="P151" s="167">
        <f t="shared" si="94"/>
        <v>15.26</v>
      </c>
      <c r="Q151" s="168">
        <f t="shared" si="95"/>
        <v>1663.7555199999997</v>
      </c>
      <c r="R151" s="169">
        <f t="shared" si="96"/>
        <v>1877.6669439999998</v>
      </c>
      <c r="S151" s="169">
        <f t="shared" si="97"/>
        <v>3541.42</v>
      </c>
      <c r="T151" s="161">
        <f t="shared" si="107"/>
        <v>2.240248485384802E-3</v>
      </c>
    </row>
    <row r="152" spans="1:20" ht="30" customHeight="1" x14ac:dyDescent="0.25">
      <c r="A152" s="341"/>
      <c r="B152" s="162" t="s">
        <v>1389</v>
      </c>
      <c r="C152" s="160" t="s">
        <v>747</v>
      </c>
      <c r="D152" s="171" t="s">
        <v>124</v>
      </c>
      <c r="E152" s="163" t="s">
        <v>443</v>
      </c>
      <c r="F152" s="160" t="s">
        <v>22</v>
      </c>
      <c r="G152" s="164">
        <v>9</v>
      </c>
      <c r="H152" s="165">
        <v>2.95</v>
      </c>
      <c r="I152" s="166">
        <v>2.34</v>
      </c>
      <c r="J152" s="167">
        <f t="shared" si="98"/>
        <v>5.29</v>
      </c>
      <c r="K152" s="168">
        <f t="shared" si="102"/>
        <v>26.55</v>
      </c>
      <c r="L152" s="169">
        <f t="shared" si="103"/>
        <v>21.06</v>
      </c>
      <c r="M152" s="170">
        <f t="shared" si="89"/>
        <v>47.61</v>
      </c>
      <c r="N152" s="165">
        <f t="shared" si="105"/>
        <v>3.7777700000000003</v>
      </c>
      <c r="O152" s="166">
        <f t="shared" si="105"/>
        <v>2.9966039999999996</v>
      </c>
      <c r="P152" s="167">
        <f t="shared" si="94"/>
        <v>6.77</v>
      </c>
      <c r="Q152" s="168">
        <f t="shared" si="95"/>
        <v>33.999930000000006</v>
      </c>
      <c r="R152" s="169">
        <f t="shared" si="96"/>
        <v>26.969435999999995</v>
      </c>
      <c r="S152" s="169">
        <f t="shared" si="97"/>
        <v>60.96</v>
      </c>
      <c r="T152" s="161">
        <f t="shared" si="107"/>
        <v>3.856236980337196E-5</v>
      </c>
    </row>
    <row r="153" spans="1:20" ht="30" customHeight="1" x14ac:dyDescent="0.25">
      <c r="A153" s="341"/>
      <c r="B153" s="341" t="s">
        <v>1015</v>
      </c>
      <c r="C153" s="362"/>
      <c r="D153" s="363"/>
      <c r="E153" s="343" t="s">
        <v>1198</v>
      </c>
      <c r="F153" s="342"/>
      <c r="G153" s="361"/>
      <c r="H153" s="350"/>
      <c r="I153" s="351"/>
      <c r="J153" s="352">
        <f t="shared" si="98"/>
        <v>0</v>
      </c>
      <c r="K153" s="348">
        <f>SUM(K154:K165)</f>
        <v>4718.3100000000004</v>
      </c>
      <c r="L153" s="348">
        <f>SUM(L154:L165)</f>
        <v>29693.670000000002</v>
      </c>
      <c r="M153" s="348">
        <f>SUM(M154:M165)</f>
        <v>34411.980000000003</v>
      </c>
      <c r="N153" s="350">
        <f t="shared" si="105"/>
        <v>0</v>
      </c>
      <c r="O153" s="351">
        <f t="shared" si="105"/>
        <v>0</v>
      </c>
      <c r="P153" s="352">
        <f t="shared" si="94"/>
        <v>0</v>
      </c>
      <c r="Q153" s="348">
        <f>SUM(Q154:Q165)</f>
        <v>6042.2677859999985</v>
      </c>
      <c r="R153" s="348">
        <f>SUM(R154:R165)</f>
        <v>38025.713801999998</v>
      </c>
      <c r="S153" s="348">
        <f>SUM(S154:S165)</f>
        <v>44067.93</v>
      </c>
      <c r="T153" s="349">
        <f t="shared" si="107"/>
        <v>2.7876702971278037E-2</v>
      </c>
    </row>
    <row r="154" spans="1:20" ht="30" customHeight="1" x14ac:dyDescent="0.25">
      <c r="A154" s="341"/>
      <c r="B154" s="162" t="s">
        <v>1390</v>
      </c>
      <c r="C154" s="160" t="s">
        <v>755</v>
      </c>
      <c r="D154" s="171" t="s">
        <v>212</v>
      </c>
      <c r="E154" s="163" t="s">
        <v>756</v>
      </c>
      <c r="F154" s="160" t="s">
        <v>22</v>
      </c>
      <c r="G154" s="164">
        <v>1</v>
      </c>
      <c r="H154" s="165">
        <v>42.01</v>
      </c>
      <c r="I154" s="166">
        <v>2993.06</v>
      </c>
      <c r="J154" s="167">
        <f t="shared" si="98"/>
        <v>3035.07</v>
      </c>
      <c r="K154" s="168">
        <f t="shared" si="102"/>
        <v>42.01</v>
      </c>
      <c r="L154" s="169">
        <f t="shared" si="103"/>
        <v>2993.06</v>
      </c>
      <c r="M154" s="170">
        <f t="shared" si="89"/>
        <v>3035.07</v>
      </c>
      <c r="N154" s="165">
        <f t="shared" si="105"/>
        <v>53.798005999999994</v>
      </c>
      <c r="O154" s="166">
        <f t="shared" si="105"/>
        <v>3832.912636</v>
      </c>
      <c r="P154" s="167">
        <f t="shared" si="94"/>
        <v>3886.71</v>
      </c>
      <c r="Q154" s="168">
        <f t="shared" si="95"/>
        <v>53.798005999999994</v>
      </c>
      <c r="R154" s="169">
        <f t="shared" si="96"/>
        <v>3832.912636</v>
      </c>
      <c r="S154" s="169">
        <f t="shared" si="97"/>
        <v>3886.71</v>
      </c>
      <c r="T154" s="161">
        <f t="shared" si="107"/>
        <v>2.4586736932162702E-3</v>
      </c>
    </row>
    <row r="155" spans="1:20" ht="30" customHeight="1" x14ac:dyDescent="0.25">
      <c r="A155" s="341"/>
      <c r="B155" s="162" t="s">
        <v>1391</v>
      </c>
      <c r="C155" s="160" t="s">
        <v>758</v>
      </c>
      <c r="D155" s="171" t="s">
        <v>212</v>
      </c>
      <c r="E155" s="163" t="s">
        <v>759</v>
      </c>
      <c r="F155" s="160" t="s">
        <v>22</v>
      </c>
      <c r="G155" s="164">
        <v>1</v>
      </c>
      <c r="H155" s="165">
        <v>75.459999999999994</v>
      </c>
      <c r="I155" s="166">
        <v>593.45000000000005</v>
      </c>
      <c r="J155" s="167">
        <f t="shared" si="98"/>
        <v>668.91</v>
      </c>
      <c r="K155" s="168">
        <f t="shared" si="102"/>
        <v>75.459999999999994</v>
      </c>
      <c r="L155" s="169">
        <f t="shared" si="103"/>
        <v>593.45000000000005</v>
      </c>
      <c r="M155" s="170">
        <f t="shared" si="89"/>
        <v>668.91</v>
      </c>
      <c r="N155" s="165">
        <f t="shared" si="105"/>
        <v>96.634075999999993</v>
      </c>
      <c r="O155" s="166">
        <f t="shared" si="105"/>
        <v>759.97207000000003</v>
      </c>
      <c r="P155" s="167">
        <f t="shared" si="94"/>
        <v>856.6</v>
      </c>
      <c r="Q155" s="168">
        <f t="shared" si="95"/>
        <v>96.634075999999993</v>
      </c>
      <c r="R155" s="169">
        <f t="shared" si="96"/>
        <v>759.97207000000003</v>
      </c>
      <c r="S155" s="169">
        <f t="shared" si="97"/>
        <v>856.6</v>
      </c>
      <c r="T155" s="161">
        <f t="shared" si="107"/>
        <v>5.4187214523570247E-4</v>
      </c>
    </row>
    <row r="156" spans="1:20" ht="30" customHeight="1" x14ac:dyDescent="0.25">
      <c r="A156" s="341"/>
      <c r="B156" s="162" t="s">
        <v>1392</v>
      </c>
      <c r="C156" s="160" t="s">
        <v>757</v>
      </c>
      <c r="D156" s="171" t="s">
        <v>124</v>
      </c>
      <c r="E156" s="163" t="s">
        <v>550</v>
      </c>
      <c r="F156" s="160" t="s">
        <v>243</v>
      </c>
      <c r="G156" s="164">
        <v>1</v>
      </c>
      <c r="H156" s="165">
        <v>5.92</v>
      </c>
      <c r="I156" s="166">
        <v>516.27</v>
      </c>
      <c r="J156" s="167">
        <f t="shared" si="98"/>
        <v>522.19000000000005</v>
      </c>
      <c r="K156" s="168">
        <f t="shared" si="102"/>
        <v>5.92</v>
      </c>
      <c r="L156" s="169">
        <f t="shared" si="103"/>
        <v>516.27</v>
      </c>
      <c r="M156" s="170">
        <f t="shared" si="89"/>
        <v>522.19000000000005</v>
      </c>
      <c r="N156" s="165">
        <f t="shared" si="105"/>
        <v>7.5811519999999994</v>
      </c>
      <c r="O156" s="166">
        <f t="shared" si="105"/>
        <v>661.13536199999999</v>
      </c>
      <c r="P156" s="167">
        <f t="shared" si="94"/>
        <v>668.71</v>
      </c>
      <c r="Q156" s="168">
        <f t="shared" si="95"/>
        <v>7.5811519999999994</v>
      </c>
      <c r="R156" s="169">
        <f t="shared" si="96"/>
        <v>661.13536199999999</v>
      </c>
      <c r="S156" s="169">
        <f t="shared" si="97"/>
        <v>668.71</v>
      </c>
      <c r="T156" s="161">
        <f t="shared" si="107"/>
        <v>4.2301578594509292E-4</v>
      </c>
    </row>
    <row r="157" spans="1:20" ht="30" customHeight="1" x14ac:dyDescent="0.25">
      <c r="A157" s="341"/>
      <c r="B157" s="162" t="s">
        <v>1393</v>
      </c>
      <c r="C157" s="160" t="s">
        <v>760</v>
      </c>
      <c r="D157" s="171" t="s">
        <v>212</v>
      </c>
      <c r="E157" s="163" t="s">
        <v>761</v>
      </c>
      <c r="F157" s="160" t="s">
        <v>22</v>
      </c>
      <c r="G157" s="164">
        <v>12</v>
      </c>
      <c r="H157" s="165">
        <v>2.5499999999999998</v>
      </c>
      <c r="I157" s="166">
        <v>64.91</v>
      </c>
      <c r="J157" s="167">
        <f t="shared" si="98"/>
        <v>67.459999999999994</v>
      </c>
      <c r="K157" s="168">
        <f t="shared" si="102"/>
        <v>30.599999999999998</v>
      </c>
      <c r="L157" s="169">
        <f t="shared" si="103"/>
        <v>778.92</v>
      </c>
      <c r="M157" s="170">
        <f t="shared" si="89"/>
        <v>809.52</v>
      </c>
      <c r="N157" s="165">
        <f t="shared" ref="N157:O180" si="109">+H157*(1+$T$10)</f>
        <v>3.2655299999999996</v>
      </c>
      <c r="O157" s="166">
        <f t="shared" si="109"/>
        <v>83.123745999999997</v>
      </c>
      <c r="P157" s="167">
        <f t="shared" si="94"/>
        <v>86.38</v>
      </c>
      <c r="Q157" s="168">
        <f t="shared" si="95"/>
        <v>39.186359999999993</v>
      </c>
      <c r="R157" s="169">
        <f t="shared" si="96"/>
        <v>997.48495200000002</v>
      </c>
      <c r="S157" s="169">
        <f t="shared" si="97"/>
        <v>1036.67</v>
      </c>
      <c r="T157" s="161">
        <f t="shared" si="107"/>
        <v>6.5578169133959335E-4</v>
      </c>
    </row>
    <row r="158" spans="1:20" ht="30" customHeight="1" x14ac:dyDescent="0.25">
      <c r="A158" s="341"/>
      <c r="B158" s="162" t="s">
        <v>1394</v>
      </c>
      <c r="C158" s="160" t="s">
        <v>762</v>
      </c>
      <c r="D158" s="171" t="s">
        <v>31</v>
      </c>
      <c r="E158" s="163" t="s">
        <v>763</v>
      </c>
      <c r="F158" s="160" t="s">
        <v>22</v>
      </c>
      <c r="G158" s="164">
        <v>12</v>
      </c>
      <c r="H158" s="165">
        <v>183.89</v>
      </c>
      <c r="I158" s="166">
        <v>716.38</v>
      </c>
      <c r="J158" s="167">
        <f t="shared" si="98"/>
        <v>900.27</v>
      </c>
      <c r="K158" s="168">
        <f t="shared" si="102"/>
        <v>2206.6799999999998</v>
      </c>
      <c r="L158" s="169">
        <f t="shared" si="103"/>
        <v>8596.56</v>
      </c>
      <c r="M158" s="170">
        <f t="shared" si="89"/>
        <v>10803.24</v>
      </c>
      <c r="N158" s="165">
        <f t="shared" si="109"/>
        <v>235.48953399999996</v>
      </c>
      <c r="O158" s="166">
        <f t="shared" si="109"/>
        <v>917.39622799999995</v>
      </c>
      <c r="P158" s="167">
        <f t="shared" si="94"/>
        <v>1152.8800000000001</v>
      </c>
      <c r="Q158" s="168">
        <f t="shared" si="95"/>
        <v>2825.8744079999997</v>
      </c>
      <c r="R158" s="169">
        <f t="shared" si="96"/>
        <v>11008.754735999999</v>
      </c>
      <c r="S158" s="169">
        <f t="shared" si="97"/>
        <v>13834.62</v>
      </c>
      <c r="T158" s="161">
        <f t="shared" si="107"/>
        <v>8.7515704155040324E-3</v>
      </c>
    </row>
    <row r="159" spans="1:20" ht="30" customHeight="1" x14ac:dyDescent="0.25">
      <c r="A159" s="341"/>
      <c r="B159" s="162" t="s">
        <v>1395</v>
      </c>
      <c r="C159" s="160" t="s">
        <v>764</v>
      </c>
      <c r="D159" s="171" t="s">
        <v>212</v>
      </c>
      <c r="E159" s="163" t="s">
        <v>765</v>
      </c>
      <c r="F159" s="160" t="s">
        <v>22</v>
      </c>
      <c r="G159" s="164">
        <v>1</v>
      </c>
      <c r="H159" s="165">
        <v>2.5499999999999998</v>
      </c>
      <c r="I159" s="166">
        <v>96.64</v>
      </c>
      <c r="J159" s="167">
        <f t="shared" si="98"/>
        <v>99.19</v>
      </c>
      <c r="K159" s="168">
        <f t="shared" si="102"/>
        <v>2.5499999999999998</v>
      </c>
      <c r="L159" s="169">
        <f t="shared" si="103"/>
        <v>96.64</v>
      </c>
      <c r="M159" s="170">
        <f t="shared" si="89"/>
        <v>99.19</v>
      </c>
      <c r="N159" s="165">
        <f t="shared" si="109"/>
        <v>3.2655299999999996</v>
      </c>
      <c r="O159" s="166">
        <f t="shared" si="109"/>
        <v>123.757184</v>
      </c>
      <c r="P159" s="167">
        <f t="shared" si="94"/>
        <v>127.02</v>
      </c>
      <c r="Q159" s="168">
        <f t="shared" si="95"/>
        <v>3.2655299999999996</v>
      </c>
      <c r="R159" s="169">
        <f t="shared" si="96"/>
        <v>123.757184</v>
      </c>
      <c r="S159" s="169">
        <f t="shared" si="97"/>
        <v>127.02</v>
      </c>
      <c r="T159" s="161">
        <f t="shared" si="107"/>
        <v>8.0350922119821284E-5</v>
      </c>
    </row>
    <row r="160" spans="1:20" ht="30" customHeight="1" x14ac:dyDescent="0.25">
      <c r="A160" s="341"/>
      <c r="B160" s="162" t="s">
        <v>1396</v>
      </c>
      <c r="C160" s="160" t="s">
        <v>1021</v>
      </c>
      <c r="D160" s="171" t="s">
        <v>212</v>
      </c>
      <c r="E160" s="163" t="s">
        <v>1022</v>
      </c>
      <c r="F160" s="160" t="s">
        <v>22</v>
      </c>
      <c r="G160" s="164">
        <v>3</v>
      </c>
      <c r="H160" s="398">
        <v>61.15</v>
      </c>
      <c r="I160" s="166">
        <v>1073.4000000000001</v>
      </c>
      <c r="J160" s="167">
        <f t="shared" si="98"/>
        <v>1134.55</v>
      </c>
      <c r="K160" s="168">
        <f t="shared" si="102"/>
        <v>183.45</v>
      </c>
      <c r="L160" s="169">
        <f t="shared" si="103"/>
        <v>3220.2000000000003</v>
      </c>
      <c r="M160" s="170">
        <f t="shared" si="89"/>
        <v>3403.65</v>
      </c>
      <c r="N160" s="165">
        <f t="shared" si="109"/>
        <v>78.308689999999999</v>
      </c>
      <c r="O160" s="166">
        <f t="shared" si="109"/>
        <v>1374.5960400000001</v>
      </c>
      <c r="P160" s="167">
        <f t="shared" ref="P160" si="110">TRUNC(SUM(N160:O160),2)</f>
        <v>1452.9</v>
      </c>
      <c r="Q160" s="168">
        <f t="shared" si="95"/>
        <v>234.92606999999998</v>
      </c>
      <c r="R160" s="169">
        <f t="shared" si="96"/>
        <v>4123.7881200000002</v>
      </c>
      <c r="S160" s="169">
        <f t="shared" si="97"/>
        <v>4358.71</v>
      </c>
      <c r="T160" s="161">
        <f t="shared" si="107"/>
        <v>2.7572537218775489E-3</v>
      </c>
    </row>
    <row r="161" spans="1:20" ht="30" customHeight="1" x14ac:dyDescent="0.25">
      <c r="A161" s="341"/>
      <c r="B161" s="162" t="s">
        <v>1397</v>
      </c>
      <c r="C161" s="160" t="s">
        <v>1023</v>
      </c>
      <c r="D161" s="171" t="s">
        <v>124</v>
      </c>
      <c r="E161" s="163" t="s">
        <v>1024</v>
      </c>
      <c r="F161" s="160" t="s">
        <v>22</v>
      </c>
      <c r="G161" s="164">
        <v>1</v>
      </c>
      <c r="H161" s="165">
        <v>2.95</v>
      </c>
      <c r="I161" s="166">
        <v>111.38</v>
      </c>
      <c r="J161" s="167">
        <f t="shared" si="98"/>
        <v>114.33</v>
      </c>
      <c r="K161" s="168">
        <f t="shared" si="102"/>
        <v>2.95</v>
      </c>
      <c r="L161" s="169">
        <f t="shared" si="103"/>
        <v>111.38</v>
      </c>
      <c r="M161" s="170">
        <f t="shared" si="89"/>
        <v>114.33</v>
      </c>
      <c r="N161" s="165">
        <f t="shared" si="109"/>
        <v>3.7777700000000003</v>
      </c>
      <c r="O161" s="166">
        <f t="shared" si="109"/>
        <v>142.633228</v>
      </c>
      <c r="P161" s="167">
        <f t="shared" si="94"/>
        <v>146.41</v>
      </c>
      <c r="Q161" s="168">
        <f t="shared" si="95"/>
        <v>3.7777700000000003</v>
      </c>
      <c r="R161" s="169">
        <f t="shared" si="96"/>
        <v>142.633228</v>
      </c>
      <c r="S161" s="169">
        <f t="shared" si="97"/>
        <v>146.41</v>
      </c>
      <c r="T161" s="161">
        <f t="shared" si="107"/>
        <v>9.261674151758019E-5</v>
      </c>
    </row>
    <row r="162" spans="1:20" ht="30" customHeight="1" x14ac:dyDescent="0.25">
      <c r="A162" s="341"/>
      <c r="B162" s="162" t="s">
        <v>1398</v>
      </c>
      <c r="C162" s="160" t="s">
        <v>1025</v>
      </c>
      <c r="D162" s="171" t="s">
        <v>874</v>
      </c>
      <c r="E162" s="163" t="s">
        <v>1026</v>
      </c>
      <c r="F162" s="160" t="s">
        <v>824</v>
      </c>
      <c r="G162" s="164">
        <v>288</v>
      </c>
      <c r="H162" s="165">
        <v>4</v>
      </c>
      <c r="I162" s="166">
        <v>22.12</v>
      </c>
      <c r="J162" s="167">
        <f t="shared" si="98"/>
        <v>26.12</v>
      </c>
      <c r="K162" s="168">
        <f t="shared" si="102"/>
        <v>1152</v>
      </c>
      <c r="L162" s="169">
        <f t="shared" si="103"/>
        <v>6370.56</v>
      </c>
      <c r="M162" s="170">
        <f t="shared" si="89"/>
        <v>7522.56</v>
      </c>
      <c r="N162" s="165">
        <f t="shared" si="109"/>
        <v>5.1223999999999998</v>
      </c>
      <c r="O162" s="166">
        <f t="shared" si="109"/>
        <v>28.326872000000002</v>
      </c>
      <c r="P162" s="167">
        <f t="shared" si="94"/>
        <v>33.44</v>
      </c>
      <c r="Q162" s="168">
        <f t="shared" si="95"/>
        <v>1475.2511999999999</v>
      </c>
      <c r="R162" s="169">
        <f t="shared" si="96"/>
        <v>8158.1391360000007</v>
      </c>
      <c r="S162" s="169">
        <f t="shared" si="97"/>
        <v>9633.39</v>
      </c>
      <c r="T162" s="161">
        <f t="shared" si="107"/>
        <v>6.0939361489518598E-3</v>
      </c>
    </row>
    <row r="163" spans="1:20" ht="30" customHeight="1" x14ac:dyDescent="0.25">
      <c r="A163" s="341"/>
      <c r="B163" s="162" t="s">
        <v>1399</v>
      </c>
      <c r="C163" s="160" t="s">
        <v>1027</v>
      </c>
      <c r="D163" s="171" t="s">
        <v>264</v>
      </c>
      <c r="E163" s="163" t="s">
        <v>1028</v>
      </c>
      <c r="F163" s="160" t="s">
        <v>22</v>
      </c>
      <c r="G163" s="164">
        <v>144</v>
      </c>
      <c r="H163" s="165">
        <v>6.29</v>
      </c>
      <c r="I163" s="166">
        <v>36.89</v>
      </c>
      <c r="J163" s="167">
        <f t="shared" si="98"/>
        <v>43.18</v>
      </c>
      <c r="K163" s="168">
        <f t="shared" si="102"/>
        <v>905.76</v>
      </c>
      <c r="L163" s="169">
        <f t="shared" si="103"/>
        <v>5312.16</v>
      </c>
      <c r="M163" s="170">
        <f t="shared" si="89"/>
        <v>6217.92</v>
      </c>
      <c r="N163" s="165">
        <f t="shared" si="109"/>
        <v>8.0549739999999996</v>
      </c>
      <c r="O163" s="166">
        <f t="shared" si="109"/>
        <v>47.241334000000002</v>
      </c>
      <c r="P163" s="167">
        <f t="shared" si="94"/>
        <v>55.29</v>
      </c>
      <c r="Q163" s="168">
        <f t="shared" si="95"/>
        <v>1159.916256</v>
      </c>
      <c r="R163" s="169">
        <f t="shared" si="96"/>
        <v>6802.7520960000002</v>
      </c>
      <c r="S163" s="169">
        <f t="shared" si="97"/>
        <v>7962.66</v>
      </c>
      <c r="T163" s="161">
        <f t="shared" si="107"/>
        <v>5.0370577352119054E-3</v>
      </c>
    </row>
    <row r="164" spans="1:20" ht="30" customHeight="1" x14ac:dyDescent="0.25">
      <c r="A164" s="341"/>
      <c r="B164" s="162" t="s">
        <v>1400</v>
      </c>
      <c r="C164" s="160" t="s">
        <v>1261</v>
      </c>
      <c r="D164" s="171" t="s">
        <v>124</v>
      </c>
      <c r="E164" s="163" t="s">
        <v>1262</v>
      </c>
      <c r="F164" s="160" t="s">
        <v>22</v>
      </c>
      <c r="G164" s="164">
        <v>15</v>
      </c>
      <c r="H164" s="165">
        <v>6.27</v>
      </c>
      <c r="I164" s="166">
        <v>7.15</v>
      </c>
      <c r="J164" s="167">
        <f t="shared" si="98"/>
        <v>13.42</v>
      </c>
      <c r="K164" s="168">
        <f t="shared" si="102"/>
        <v>94.05</v>
      </c>
      <c r="L164" s="169">
        <f t="shared" si="103"/>
        <v>107.25</v>
      </c>
      <c r="M164" s="170">
        <f t="shared" si="89"/>
        <v>201.3</v>
      </c>
      <c r="N164" s="165">
        <f t="shared" si="109"/>
        <v>8.029361999999999</v>
      </c>
      <c r="O164" s="166">
        <f t="shared" si="109"/>
        <v>9.1562900000000003</v>
      </c>
      <c r="P164" s="167">
        <f t="shared" ref="P164:P194" si="111">TRUNC(SUM(N164:O164),2)</f>
        <v>17.18</v>
      </c>
      <c r="Q164" s="168">
        <f t="shared" si="95"/>
        <v>120.44042999999999</v>
      </c>
      <c r="R164" s="169">
        <f t="shared" si="96"/>
        <v>137.34434999999999</v>
      </c>
      <c r="S164" s="169">
        <f t="shared" si="97"/>
        <v>257.77999999999997</v>
      </c>
      <c r="T164" s="161">
        <f t="shared" si="107"/>
        <v>1.6306771141589931E-4</v>
      </c>
    </row>
    <row r="165" spans="1:20" ht="30" customHeight="1" x14ac:dyDescent="0.25">
      <c r="A165" s="341"/>
      <c r="B165" s="162" t="s">
        <v>1401</v>
      </c>
      <c r="C165" s="160" t="s">
        <v>1266</v>
      </c>
      <c r="D165" s="160" t="s">
        <v>124</v>
      </c>
      <c r="E165" s="210" t="s">
        <v>1267</v>
      </c>
      <c r="F165" s="203" t="s">
        <v>22</v>
      </c>
      <c r="G165" s="204">
        <v>1</v>
      </c>
      <c r="H165" s="396">
        <v>16.88</v>
      </c>
      <c r="I165" s="397">
        <v>997.22</v>
      </c>
      <c r="J165" s="167">
        <f t="shared" si="98"/>
        <v>1014.1</v>
      </c>
      <c r="K165" s="168">
        <f t="shared" si="102"/>
        <v>16.88</v>
      </c>
      <c r="L165" s="169">
        <f t="shared" si="103"/>
        <v>997.22</v>
      </c>
      <c r="M165" s="170">
        <f t="shared" si="89"/>
        <v>1014.1</v>
      </c>
      <c r="N165" s="165">
        <f t="shared" si="109"/>
        <v>21.616527999999999</v>
      </c>
      <c r="O165" s="166">
        <f t="shared" si="109"/>
        <v>1277.0399319999999</v>
      </c>
      <c r="P165" s="167">
        <f t="shared" si="111"/>
        <v>1298.6500000000001</v>
      </c>
      <c r="Q165" s="168">
        <f t="shared" si="95"/>
        <v>21.616527999999999</v>
      </c>
      <c r="R165" s="169">
        <f t="shared" si="96"/>
        <v>1277.0399319999999</v>
      </c>
      <c r="S165" s="169">
        <f t="shared" si="97"/>
        <v>1298.6500000000001</v>
      </c>
      <c r="T165" s="161">
        <f t="shared" si="107"/>
        <v>8.2150625894273287E-4</v>
      </c>
    </row>
    <row r="166" spans="1:20" ht="30" customHeight="1" x14ac:dyDescent="0.25">
      <c r="A166" s="341"/>
      <c r="B166" s="341" t="s">
        <v>1402</v>
      </c>
      <c r="C166" s="362"/>
      <c r="D166" s="363"/>
      <c r="E166" s="343" t="s">
        <v>1199</v>
      </c>
      <c r="F166" s="342"/>
      <c r="G166" s="361"/>
      <c r="H166" s="350"/>
      <c r="I166" s="351"/>
      <c r="J166" s="352">
        <f t="shared" si="98"/>
        <v>0</v>
      </c>
      <c r="K166" s="348">
        <f>SUM(K167:K178)</f>
        <v>14156.449999999999</v>
      </c>
      <c r="L166" s="348">
        <f>SUM(L167:L178)</f>
        <v>98740.45</v>
      </c>
      <c r="M166" s="348">
        <f>SUM(M167:M178)</f>
        <v>112896.90000000002</v>
      </c>
      <c r="N166" s="350">
        <f t="shared" si="109"/>
        <v>0</v>
      </c>
      <c r="O166" s="351">
        <f t="shared" si="109"/>
        <v>0</v>
      </c>
      <c r="P166" s="352">
        <f t="shared" si="111"/>
        <v>0</v>
      </c>
      <c r="Q166" s="348">
        <f>SUM(Q167:Q178)</f>
        <v>18128.74987</v>
      </c>
      <c r="R166" s="348">
        <f>SUM(R167:R178)</f>
        <v>126447.02027000002</v>
      </c>
      <c r="S166" s="348">
        <f>SUM(S167:S178)</f>
        <v>144575.72999999998</v>
      </c>
      <c r="T166" s="349">
        <f t="shared" si="107"/>
        <v>9.1456410184587542E-2</v>
      </c>
    </row>
    <row r="167" spans="1:20" ht="30" customHeight="1" x14ac:dyDescent="0.25">
      <c r="A167" s="341"/>
      <c r="B167" s="205" t="s">
        <v>1404</v>
      </c>
      <c r="C167" s="160" t="s">
        <v>1033</v>
      </c>
      <c r="D167" s="160" t="s">
        <v>212</v>
      </c>
      <c r="E167" s="210" t="s">
        <v>1034</v>
      </c>
      <c r="F167" s="203" t="s">
        <v>22</v>
      </c>
      <c r="G167" s="204">
        <v>5</v>
      </c>
      <c r="H167" s="205">
        <v>42.01</v>
      </c>
      <c r="I167" s="203">
        <v>1591.16</v>
      </c>
      <c r="J167" s="167">
        <f t="shared" si="98"/>
        <v>1633.17</v>
      </c>
      <c r="K167" s="168">
        <f t="shared" ref="K167:K194" si="112">+H167*G167</f>
        <v>210.04999999999998</v>
      </c>
      <c r="L167" s="169">
        <f t="shared" ref="L167:L194" si="113">+I167*G167</f>
        <v>7955.8</v>
      </c>
      <c r="M167" s="170">
        <f t="shared" ref="M167:M194" si="114">TRUNC(SUM(K167:L167),2)</f>
        <v>8165.85</v>
      </c>
      <c r="N167" s="165">
        <f t="shared" si="109"/>
        <v>53.798005999999994</v>
      </c>
      <c r="O167" s="166">
        <f t="shared" si="109"/>
        <v>2037.639496</v>
      </c>
      <c r="P167" s="167">
        <f t="shared" si="111"/>
        <v>2091.4299999999998</v>
      </c>
      <c r="Q167" s="168">
        <f t="shared" ref="Q167:Q194" si="115">+N167*G167</f>
        <v>268.99002999999999</v>
      </c>
      <c r="R167" s="169">
        <f t="shared" ref="R167:R194" si="116">+O167*G167</f>
        <v>10188.197480000001</v>
      </c>
      <c r="S167" s="169">
        <f t="shared" ref="S167:S194" si="117">TRUNC(SUM(Q167:R167),2)</f>
        <v>10457.18</v>
      </c>
      <c r="T167" s="161">
        <f t="shared" si="107"/>
        <v>6.6150531866867651E-3</v>
      </c>
    </row>
    <row r="168" spans="1:20" ht="30" customHeight="1" x14ac:dyDescent="0.25">
      <c r="A168" s="341"/>
      <c r="B168" s="205" t="s">
        <v>1405</v>
      </c>
      <c r="C168" s="160" t="s">
        <v>758</v>
      </c>
      <c r="D168" s="160" t="s">
        <v>212</v>
      </c>
      <c r="E168" s="210" t="s">
        <v>759</v>
      </c>
      <c r="F168" s="203" t="s">
        <v>22</v>
      </c>
      <c r="G168" s="204">
        <v>5</v>
      </c>
      <c r="H168" s="205">
        <v>75.459999999999994</v>
      </c>
      <c r="I168" s="203">
        <v>593.45000000000005</v>
      </c>
      <c r="J168" s="167">
        <f t="shared" si="98"/>
        <v>668.91</v>
      </c>
      <c r="K168" s="168">
        <f t="shared" si="112"/>
        <v>377.29999999999995</v>
      </c>
      <c r="L168" s="169">
        <f t="shared" si="113"/>
        <v>2967.25</v>
      </c>
      <c r="M168" s="170">
        <f t="shared" si="114"/>
        <v>3344.55</v>
      </c>
      <c r="N168" s="165">
        <f t="shared" si="109"/>
        <v>96.634075999999993</v>
      </c>
      <c r="O168" s="166">
        <f t="shared" si="109"/>
        <v>759.97207000000003</v>
      </c>
      <c r="P168" s="167">
        <f t="shared" si="111"/>
        <v>856.6</v>
      </c>
      <c r="Q168" s="168">
        <f t="shared" si="115"/>
        <v>483.17037999999997</v>
      </c>
      <c r="R168" s="169">
        <f t="shared" si="116"/>
        <v>3799.8603499999999</v>
      </c>
      <c r="S168" s="169">
        <f t="shared" si="117"/>
        <v>4283.03</v>
      </c>
      <c r="T168" s="161">
        <f t="shared" si="107"/>
        <v>2.7093797037227065E-3</v>
      </c>
    </row>
    <row r="169" spans="1:20" ht="30" customHeight="1" x14ac:dyDescent="0.25">
      <c r="A169" s="341"/>
      <c r="B169" s="205" t="s">
        <v>1406</v>
      </c>
      <c r="C169" s="160" t="s">
        <v>757</v>
      </c>
      <c r="D169" s="160" t="s">
        <v>124</v>
      </c>
      <c r="E169" s="210" t="s">
        <v>550</v>
      </c>
      <c r="F169" s="203" t="s">
        <v>243</v>
      </c>
      <c r="G169" s="204">
        <v>5</v>
      </c>
      <c r="H169" s="205">
        <v>5.92</v>
      </c>
      <c r="I169" s="203">
        <v>516.27</v>
      </c>
      <c r="J169" s="167">
        <f t="shared" si="98"/>
        <v>522.19000000000005</v>
      </c>
      <c r="K169" s="168">
        <f t="shared" si="112"/>
        <v>29.6</v>
      </c>
      <c r="L169" s="169">
        <f t="shared" si="113"/>
        <v>2581.35</v>
      </c>
      <c r="M169" s="170">
        <f t="shared" si="114"/>
        <v>2610.9499999999998</v>
      </c>
      <c r="N169" s="165">
        <f t="shared" si="109"/>
        <v>7.5811519999999994</v>
      </c>
      <c r="O169" s="166">
        <f t="shared" si="109"/>
        <v>661.13536199999999</v>
      </c>
      <c r="P169" s="167">
        <f t="shared" si="111"/>
        <v>668.71</v>
      </c>
      <c r="Q169" s="168">
        <f t="shared" si="115"/>
        <v>37.905760000000001</v>
      </c>
      <c r="R169" s="169">
        <f t="shared" si="116"/>
        <v>3305.6768099999999</v>
      </c>
      <c r="S169" s="169">
        <f t="shared" si="117"/>
        <v>3343.58</v>
      </c>
      <c r="T169" s="161">
        <f t="shared" si="107"/>
        <v>2.115097907269659E-3</v>
      </c>
    </row>
    <row r="170" spans="1:20" ht="30" customHeight="1" x14ac:dyDescent="0.25">
      <c r="A170" s="341"/>
      <c r="B170" s="205" t="s">
        <v>1407</v>
      </c>
      <c r="C170" s="160" t="s">
        <v>760</v>
      </c>
      <c r="D170" s="160" t="s">
        <v>212</v>
      </c>
      <c r="E170" s="210" t="s">
        <v>761</v>
      </c>
      <c r="F170" s="203" t="s">
        <v>22</v>
      </c>
      <c r="G170" s="204">
        <v>40</v>
      </c>
      <c r="H170" s="205">
        <v>2.5499999999999998</v>
      </c>
      <c r="I170" s="203">
        <v>64.91</v>
      </c>
      <c r="J170" s="167">
        <f t="shared" si="98"/>
        <v>67.459999999999994</v>
      </c>
      <c r="K170" s="168">
        <f t="shared" si="112"/>
        <v>102</v>
      </c>
      <c r="L170" s="169">
        <f t="shared" si="113"/>
        <v>2596.3999999999996</v>
      </c>
      <c r="M170" s="170">
        <f t="shared" si="114"/>
        <v>2698.4</v>
      </c>
      <c r="N170" s="165">
        <f t="shared" si="109"/>
        <v>3.2655299999999996</v>
      </c>
      <c r="O170" s="166">
        <f t="shared" si="109"/>
        <v>83.123745999999997</v>
      </c>
      <c r="P170" s="167">
        <f t="shared" si="111"/>
        <v>86.38</v>
      </c>
      <c r="Q170" s="168">
        <f t="shared" si="115"/>
        <v>130.62119999999999</v>
      </c>
      <c r="R170" s="169">
        <f t="shared" si="116"/>
        <v>3324.9498399999998</v>
      </c>
      <c r="S170" s="169">
        <f t="shared" si="117"/>
        <v>3455.57</v>
      </c>
      <c r="T170" s="161">
        <f t="shared" si="107"/>
        <v>2.1859410797479993E-3</v>
      </c>
    </row>
    <row r="171" spans="1:20" ht="30" customHeight="1" x14ac:dyDescent="0.25">
      <c r="A171" s="341"/>
      <c r="B171" s="205" t="s">
        <v>1408</v>
      </c>
      <c r="C171" s="160" t="s">
        <v>762</v>
      </c>
      <c r="D171" s="160" t="s">
        <v>31</v>
      </c>
      <c r="E171" s="210" t="s">
        <v>763</v>
      </c>
      <c r="F171" s="203" t="s">
        <v>22</v>
      </c>
      <c r="G171" s="204">
        <v>30</v>
      </c>
      <c r="H171" s="205">
        <v>183.89</v>
      </c>
      <c r="I171" s="203">
        <v>716.38</v>
      </c>
      <c r="J171" s="167">
        <f t="shared" si="98"/>
        <v>900.27</v>
      </c>
      <c r="K171" s="168">
        <f t="shared" si="112"/>
        <v>5516.7</v>
      </c>
      <c r="L171" s="169">
        <f t="shared" si="113"/>
        <v>21491.4</v>
      </c>
      <c r="M171" s="170">
        <f t="shared" si="114"/>
        <v>27008.1</v>
      </c>
      <c r="N171" s="165">
        <f t="shared" si="109"/>
        <v>235.48953399999996</v>
      </c>
      <c r="O171" s="166">
        <f t="shared" si="109"/>
        <v>917.39622799999995</v>
      </c>
      <c r="P171" s="167">
        <f t="shared" si="111"/>
        <v>1152.8800000000001</v>
      </c>
      <c r="Q171" s="168">
        <f t="shared" si="115"/>
        <v>7064.6860199999992</v>
      </c>
      <c r="R171" s="169">
        <f t="shared" si="116"/>
        <v>27521.886839999999</v>
      </c>
      <c r="S171" s="169">
        <f t="shared" si="117"/>
        <v>34586.57</v>
      </c>
      <c r="T171" s="161">
        <f t="shared" si="107"/>
        <v>2.1878938690456207E-2</v>
      </c>
    </row>
    <row r="172" spans="1:20" ht="30" customHeight="1" x14ac:dyDescent="0.25">
      <c r="A172" s="341"/>
      <c r="B172" s="205" t="s">
        <v>1409</v>
      </c>
      <c r="C172" s="160" t="s">
        <v>764</v>
      </c>
      <c r="D172" s="160" t="s">
        <v>212</v>
      </c>
      <c r="E172" s="210" t="s">
        <v>765</v>
      </c>
      <c r="F172" s="203" t="s">
        <v>22</v>
      </c>
      <c r="G172" s="204">
        <v>5</v>
      </c>
      <c r="H172" s="205">
        <v>2.5499999999999998</v>
      </c>
      <c r="I172" s="203">
        <v>96.64</v>
      </c>
      <c r="J172" s="167">
        <f t="shared" si="98"/>
        <v>99.19</v>
      </c>
      <c r="K172" s="168">
        <f t="shared" si="112"/>
        <v>12.75</v>
      </c>
      <c r="L172" s="169">
        <f t="shared" si="113"/>
        <v>483.2</v>
      </c>
      <c r="M172" s="170">
        <f t="shared" si="114"/>
        <v>495.95</v>
      </c>
      <c r="N172" s="165">
        <f t="shared" si="109"/>
        <v>3.2655299999999996</v>
      </c>
      <c r="O172" s="166">
        <f t="shared" si="109"/>
        <v>123.757184</v>
      </c>
      <c r="P172" s="167">
        <f t="shared" si="111"/>
        <v>127.02</v>
      </c>
      <c r="Q172" s="168">
        <f t="shared" si="115"/>
        <v>16.327649999999998</v>
      </c>
      <c r="R172" s="169">
        <f t="shared" si="116"/>
        <v>618.78592000000003</v>
      </c>
      <c r="S172" s="169">
        <f t="shared" si="117"/>
        <v>635.11</v>
      </c>
      <c r="T172" s="161">
        <f t="shared" si="107"/>
        <v>4.0176093644717136E-4</v>
      </c>
    </row>
    <row r="173" spans="1:20" ht="30" customHeight="1" x14ac:dyDescent="0.25">
      <c r="A173" s="341"/>
      <c r="B173" s="205" t="s">
        <v>1410</v>
      </c>
      <c r="C173" s="160" t="s">
        <v>1021</v>
      </c>
      <c r="D173" s="171" t="s">
        <v>212</v>
      </c>
      <c r="E173" s="163" t="s">
        <v>1022</v>
      </c>
      <c r="F173" s="160" t="s">
        <v>22</v>
      </c>
      <c r="G173" s="164">
        <v>15</v>
      </c>
      <c r="H173" s="417">
        <v>61.15</v>
      </c>
      <c r="I173" s="418">
        <v>1073.4000000000001</v>
      </c>
      <c r="J173" s="167">
        <f t="shared" si="98"/>
        <v>1134.55</v>
      </c>
      <c r="K173" s="168">
        <f t="shared" si="112"/>
        <v>917.25</v>
      </c>
      <c r="L173" s="169">
        <f t="shared" si="113"/>
        <v>16101.000000000002</v>
      </c>
      <c r="M173" s="170">
        <f t="shared" si="114"/>
        <v>17018.25</v>
      </c>
      <c r="N173" s="165">
        <f t="shared" si="109"/>
        <v>78.308689999999999</v>
      </c>
      <c r="O173" s="166">
        <f t="shared" si="109"/>
        <v>1374.5960400000001</v>
      </c>
      <c r="P173" s="167">
        <f t="shared" si="111"/>
        <v>1452.9</v>
      </c>
      <c r="Q173" s="168">
        <f t="shared" si="115"/>
        <v>1174.6303499999999</v>
      </c>
      <c r="R173" s="169">
        <f t="shared" si="116"/>
        <v>20618.940600000002</v>
      </c>
      <c r="S173" s="169">
        <f t="shared" si="117"/>
        <v>21793.57</v>
      </c>
      <c r="T173" s="161">
        <f t="shared" si="107"/>
        <v>1.3786281261083874E-2</v>
      </c>
    </row>
    <row r="174" spans="1:20" ht="30" customHeight="1" x14ac:dyDescent="0.25">
      <c r="A174" s="341"/>
      <c r="B174" s="205" t="s">
        <v>1411</v>
      </c>
      <c r="C174" s="160" t="s">
        <v>1023</v>
      </c>
      <c r="D174" s="160" t="s">
        <v>124</v>
      </c>
      <c r="E174" s="210" t="s">
        <v>1024</v>
      </c>
      <c r="F174" s="203" t="s">
        <v>22</v>
      </c>
      <c r="G174" s="204">
        <v>5</v>
      </c>
      <c r="H174" s="205">
        <v>2.95</v>
      </c>
      <c r="I174" s="203">
        <v>111.38</v>
      </c>
      <c r="J174" s="167">
        <f t="shared" si="98"/>
        <v>114.33</v>
      </c>
      <c r="K174" s="168">
        <f t="shared" si="112"/>
        <v>14.75</v>
      </c>
      <c r="L174" s="169">
        <f t="shared" si="113"/>
        <v>556.9</v>
      </c>
      <c r="M174" s="170">
        <f t="shared" si="114"/>
        <v>571.65</v>
      </c>
      <c r="N174" s="165">
        <f t="shared" si="109"/>
        <v>3.7777700000000003</v>
      </c>
      <c r="O174" s="166">
        <f t="shared" si="109"/>
        <v>142.633228</v>
      </c>
      <c r="P174" s="167">
        <f t="shared" si="111"/>
        <v>146.41</v>
      </c>
      <c r="Q174" s="168">
        <f t="shared" si="115"/>
        <v>18.888850000000001</v>
      </c>
      <c r="R174" s="169">
        <f t="shared" si="116"/>
        <v>713.16614000000004</v>
      </c>
      <c r="S174" s="169">
        <f t="shared" si="117"/>
        <v>732.05</v>
      </c>
      <c r="T174" s="161">
        <f t="shared" si="107"/>
        <v>4.6308370758790091E-4</v>
      </c>
    </row>
    <row r="175" spans="1:20" ht="30" customHeight="1" x14ac:dyDescent="0.25">
      <c r="A175" s="341"/>
      <c r="B175" s="205" t="s">
        <v>1412</v>
      </c>
      <c r="C175" s="160" t="s">
        <v>1025</v>
      </c>
      <c r="D175" s="160" t="s">
        <v>874</v>
      </c>
      <c r="E175" s="210" t="s">
        <v>1026</v>
      </c>
      <c r="F175" s="203" t="s">
        <v>824</v>
      </c>
      <c r="G175" s="204">
        <v>960</v>
      </c>
      <c r="H175" s="205">
        <v>4</v>
      </c>
      <c r="I175" s="203">
        <v>22.12</v>
      </c>
      <c r="J175" s="167">
        <f t="shared" si="98"/>
        <v>26.12</v>
      </c>
      <c r="K175" s="168">
        <f t="shared" si="112"/>
        <v>3840</v>
      </c>
      <c r="L175" s="169">
        <f t="shared" si="113"/>
        <v>21235.200000000001</v>
      </c>
      <c r="M175" s="170">
        <f t="shared" si="114"/>
        <v>25075.200000000001</v>
      </c>
      <c r="N175" s="165">
        <f t="shared" si="109"/>
        <v>5.1223999999999998</v>
      </c>
      <c r="O175" s="166">
        <f t="shared" si="109"/>
        <v>28.326872000000002</v>
      </c>
      <c r="P175" s="167">
        <f t="shared" si="111"/>
        <v>33.44</v>
      </c>
      <c r="Q175" s="168">
        <f t="shared" si="115"/>
        <v>4917.5039999999999</v>
      </c>
      <c r="R175" s="169">
        <f t="shared" si="116"/>
        <v>27193.797120000003</v>
      </c>
      <c r="S175" s="169">
        <f t="shared" si="117"/>
        <v>32111.3</v>
      </c>
      <c r="T175" s="161">
        <f t="shared" si="107"/>
        <v>2.0313120496506198E-2</v>
      </c>
    </row>
    <row r="176" spans="1:20" ht="30" customHeight="1" x14ac:dyDescent="0.25">
      <c r="A176" s="341"/>
      <c r="B176" s="205" t="s">
        <v>1413</v>
      </c>
      <c r="C176" s="160" t="s">
        <v>1027</v>
      </c>
      <c r="D176" s="160" t="s">
        <v>264</v>
      </c>
      <c r="E176" s="210" t="s">
        <v>1028</v>
      </c>
      <c r="F176" s="203" t="s">
        <v>22</v>
      </c>
      <c r="G176" s="204">
        <v>480</v>
      </c>
      <c r="H176" s="205">
        <v>6.29</v>
      </c>
      <c r="I176" s="203">
        <v>36.89</v>
      </c>
      <c r="J176" s="167">
        <f t="shared" si="98"/>
        <v>43.18</v>
      </c>
      <c r="K176" s="168">
        <f t="shared" si="112"/>
        <v>3019.2</v>
      </c>
      <c r="L176" s="169">
        <f t="shared" si="113"/>
        <v>17707.2</v>
      </c>
      <c r="M176" s="170">
        <f t="shared" si="114"/>
        <v>20726.400000000001</v>
      </c>
      <c r="N176" s="165">
        <f t="shared" si="109"/>
        <v>8.0549739999999996</v>
      </c>
      <c r="O176" s="166">
        <f t="shared" si="109"/>
        <v>47.241334000000002</v>
      </c>
      <c r="P176" s="167">
        <f t="shared" si="111"/>
        <v>55.29</v>
      </c>
      <c r="Q176" s="168">
        <f t="shared" si="115"/>
        <v>3866.3875199999998</v>
      </c>
      <c r="R176" s="169">
        <f t="shared" si="116"/>
        <v>22675.840319999999</v>
      </c>
      <c r="S176" s="169">
        <f t="shared" si="117"/>
        <v>26542.22</v>
      </c>
      <c r="T176" s="161">
        <f t="shared" si="107"/>
        <v>1.6790205102402481E-2</v>
      </c>
    </row>
    <row r="177" spans="1:20" ht="30" customHeight="1" x14ac:dyDescent="0.25">
      <c r="A177" s="341"/>
      <c r="B177" s="205" t="s">
        <v>1414</v>
      </c>
      <c r="C177" s="160" t="s">
        <v>1261</v>
      </c>
      <c r="D177" s="171" t="s">
        <v>124</v>
      </c>
      <c r="E177" s="163" t="s">
        <v>1262</v>
      </c>
      <c r="F177" s="160" t="s">
        <v>22</v>
      </c>
      <c r="G177" s="164">
        <v>11</v>
      </c>
      <c r="H177" s="417">
        <v>2.95</v>
      </c>
      <c r="I177" s="418">
        <v>7.15</v>
      </c>
      <c r="J177" s="167">
        <f t="shared" si="98"/>
        <v>10.1</v>
      </c>
      <c r="K177" s="168">
        <f t="shared" si="112"/>
        <v>32.450000000000003</v>
      </c>
      <c r="L177" s="169">
        <f t="shared" si="113"/>
        <v>78.650000000000006</v>
      </c>
      <c r="M177" s="170">
        <f t="shared" si="114"/>
        <v>111.1</v>
      </c>
      <c r="N177" s="165">
        <f t="shared" si="109"/>
        <v>3.7777700000000003</v>
      </c>
      <c r="O177" s="166">
        <f t="shared" si="109"/>
        <v>9.1562900000000003</v>
      </c>
      <c r="P177" s="167">
        <f t="shared" ref="P177" si="118">TRUNC(SUM(N177:O177),2)</f>
        <v>12.93</v>
      </c>
      <c r="Q177" s="168">
        <f t="shared" si="115"/>
        <v>41.55547</v>
      </c>
      <c r="R177" s="169">
        <f t="shared" si="116"/>
        <v>100.71919</v>
      </c>
      <c r="S177" s="169">
        <f t="shared" si="117"/>
        <v>142.27000000000001</v>
      </c>
      <c r="T177" s="161">
        <f t="shared" si="107"/>
        <v>8.9997840418729142E-5</v>
      </c>
    </row>
    <row r="178" spans="1:20" ht="30" customHeight="1" x14ac:dyDescent="0.25">
      <c r="A178" s="341"/>
      <c r="B178" s="205" t="s">
        <v>1415</v>
      </c>
      <c r="C178" s="160" t="s">
        <v>1266</v>
      </c>
      <c r="D178" s="160" t="s">
        <v>124</v>
      </c>
      <c r="E178" s="210" t="s">
        <v>1267</v>
      </c>
      <c r="F178" s="203" t="s">
        <v>22</v>
      </c>
      <c r="G178" s="204">
        <v>5</v>
      </c>
      <c r="H178" s="205">
        <v>16.88</v>
      </c>
      <c r="I178" s="203">
        <v>997.22</v>
      </c>
      <c r="J178" s="167">
        <f t="shared" si="98"/>
        <v>1014.1</v>
      </c>
      <c r="K178" s="168">
        <f t="shared" si="112"/>
        <v>84.399999999999991</v>
      </c>
      <c r="L178" s="169">
        <f t="shared" si="113"/>
        <v>4986.1000000000004</v>
      </c>
      <c r="M178" s="170">
        <f t="shared" si="114"/>
        <v>5070.5</v>
      </c>
      <c r="N178" s="165">
        <f t="shared" si="109"/>
        <v>21.616527999999999</v>
      </c>
      <c r="O178" s="166">
        <f t="shared" si="109"/>
        <v>1277.0399319999999</v>
      </c>
      <c r="P178" s="167">
        <f t="shared" ref="P178" si="119">TRUNC(SUM(N178:O178),2)</f>
        <v>1298.6500000000001</v>
      </c>
      <c r="Q178" s="168">
        <f t="shared" si="115"/>
        <v>108.08264</v>
      </c>
      <c r="R178" s="169">
        <f t="shared" si="116"/>
        <v>6385.1996599999993</v>
      </c>
      <c r="S178" s="169">
        <f t="shared" si="117"/>
        <v>6493.28</v>
      </c>
      <c r="T178" s="161">
        <f t="shared" si="107"/>
        <v>4.1075502722578584E-3</v>
      </c>
    </row>
    <row r="179" spans="1:20" ht="30" customHeight="1" x14ac:dyDescent="0.25">
      <c r="A179" s="341"/>
      <c r="B179" s="341" t="s">
        <v>1403</v>
      </c>
      <c r="C179" s="362"/>
      <c r="D179" s="363"/>
      <c r="E179" s="343" t="s">
        <v>1212</v>
      </c>
      <c r="F179" s="342"/>
      <c r="G179" s="361"/>
      <c r="H179" s="350"/>
      <c r="I179" s="351"/>
      <c r="J179" s="352">
        <f t="shared" si="98"/>
        <v>0</v>
      </c>
      <c r="K179" s="348">
        <f>SUM(K180:K189)</f>
        <v>4413.71</v>
      </c>
      <c r="L179" s="348">
        <f>SUM(L180:L189)</f>
        <v>16238.329999999998</v>
      </c>
      <c r="M179" s="348">
        <f>SUM(M180:M189)</f>
        <v>20652.030000000002</v>
      </c>
      <c r="N179" s="350">
        <f t="shared" si="109"/>
        <v>0</v>
      </c>
      <c r="O179" s="351">
        <f t="shared" si="109"/>
        <v>0</v>
      </c>
      <c r="P179" s="352">
        <f t="shared" si="111"/>
        <v>0</v>
      </c>
      <c r="Q179" s="348">
        <f>SUM(Q180:Q189)</f>
        <v>5652.1970259999998</v>
      </c>
      <c r="R179" s="348">
        <f>SUM(R180:R189)</f>
        <v>20794.805397999997</v>
      </c>
      <c r="S179" s="348">
        <f>SUM(S180:S189)</f>
        <v>26446.939999999995</v>
      </c>
      <c r="T179" s="349">
        <f t="shared" si="107"/>
        <v>1.6729932422040513E-2</v>
      </c>
    </row>
    <row r="180" spans="1:20" ht="30" customHeight="1" x14ac:dyDescent="0.25">
      <c r="A180" s="341"/>
      <c r="B180" s="205" t="s">
        <v>1416</v>
      </c>
      <c r="C180" s="160" t="s">
        <v>841</v>
      </c>
      <c r="D180" s="171" t="s">
        <v>842</v>
      </c>
      <c r="E180" s="163" t="s">
        <v>843</v>
      </c>
      <c r="F180" s="160" t="s">
        <v>22</v>
      </c>
      <c r="G180" s="164">
        <v>53</v>
      </c>
      <c r="H180" s="398">
        <v>4.88</v>
      </c>
      <c r="I180" s="166">
        <v>5.29</v>
      </c>
      <c r="J180" s="167">
        <f t="shared" si="98"/>
        <v>10.17</v>
      </c>
      <c r="K180" s="168">
        <f t="shared" si="112"/>
        <v>258.64</v>
      </c>
      <c r="L180" s="169">
        <f t="shared" si="113"/>
        <v>280.37</v>
      </c>
      <c r="M180" s="170">
        <f t="shared" si="114"/>
        <v>539.01</v>
      </c>
      <c r="N180" s="165">
        <f t="shared" si="109"/>
        <v>6.2493279999999993</v>
      </c>
      <c r="O180" s="166">
        <f t="shared" si="109"/>
        <v>6.7743739999999999</v>
      </c>
      <c r="P180" s="167">
        <f t="shared" si="111"/>
        <v>13.02</v>
      </c>
      <c r="Q180" s="168">
        <f t="shared" si="115"/>
        <v>331.21438399999994</v>
      </c>
      <c r="R180" s="169">
        <f t="shared" si="116"/>
        <v>359.04182199999997</v>
      </c>
      <c r="S180" s="169">
        <f t="shared" si="117"/>
        <v>690.25</v>
      </c>
      <c r="T180" s="161">
        <f t="shared" si="107"/>
        <v>4.3664166267679618E-4</v>
      </c>
    </row>
    <row r="181" spans="1:20" ht="30" customHeight="1" x14ac:dyDescent="0.25">
      <c r="A181" s="341"/>
      <c r="B181" s="205" t="s">
        <v>1417</v>
      </c>
      <c r="C181" s="160" t="s">
        <v>1200</v>
      </c>
      <c r="D181" s="160" t="s">
        <v>842</v>
      </c>
      <c r="E181" s="210" t="s">
        <v>1201</v>
      </c>
      <c r="F181" s="203" t="s">
        <v>22</v>
      </c>
      <c r="G181" s="204">
        <v>2</v>
      </c>
      <c r="H181" s="396">
        <v>4.88</v>
      </c>
      <c r="I181" s="397">
        <v>113.48</v>
      </c>
      <c r="J181" s="167">
        <f t="shared" si="98"/>
        <v>118.36</v>
      </c>
      <c r="K181" s="168">
        <f t="shared" si="112"/>
        <v>9.76</v>
      </c>
      <c r="L181" s="169">
        <f t="shared" si="113"/>
        <v>226.96</v>
      </c>
      <c r="M181" s="170">
        <f t="shared" si="114"/>
        <v>236.72</v>
      </c>
      <c r="N181" s="165">
        <f t="shared" ref="N181:O194" si="120">+H181*(1+$T$10)</f>
        <v>6.2493279999999993</v>
      </c>
      <c r="O181" s="166">
        <f t="shared" si="120"/>
        <v>145.32248799999999</v>
      </c>
      <c r="P181" s="167">
        <f t="shared" si="111"/>
        <v>151.57</v>
      </c>
      <c r="Q181" s="168">
        <f t="shared" si="115"/>
        <v>12.498655999999999</v>
      </c>
      <c r="R181" s="169">
        <f t="shared" si="116"/>
        <v>290.64497599999999</v>
      </c>
      <c r="S181" s="169">
        <f t="shared" si="117"/>
        <v>303.14</v>
      </c>
      <c r="T181" s="161">
        <f t="shared" si="107"/>
        <v>1.9176175823809342E-4</v>
      </c>
    </row>
    <row r="182" spans="1:20" ht="30" customHeight="1" x14ac:dyDescent="0.25">
      <c r="A182" s="341"/>
      <c r="B182" s="205" t="s">
        <v>1418</v>
      </c>
      <c r="C182" s="160">
        <v>59412</v>
      </c>
      <c r="D182" s="160" t="s">
        <v>212</v>
      </c>
      <c r="E182" s="210" t="s">
        <v>1203</v>
      </c>
      <c r="F182" s="203" t="s">
        <v>22</v>
      </c>
      <c r="G182" s="204">
        <v>6</v>
      </c>
      <c r="H182" s="396">
        <v>12.6</v>
      </c>
      <c r="I182" s="397">
        <v>89.95</v>
      </c>
      <c r="J182" s="167">
        <f t="shared" si="98"/>
        <v>102.55</v>
      </c>
      <c r="K182" s="168">
        <f t="shared" si="112"/>
        <v>75.599999999999994</v>
      </c>
      <c r="L182" s="169">
        <f t="shared" si="113"/>
        <v>539.70000000000005</v>
      </c>
      <c r="M182" s="170">
        <f t="shared" si="114"/>
        <v>615.29999999999995</v>
      </c>
      <c r="N182" s="165">
        <f t="shared" si="120"/>
        <v>16.135559999999998</v>
      </c>
      <c r="O182" s="166">
        <f t="shared" si="120"/>
        <v>115.18997</v>
      </c>
      <c r="P182" s="167">
        <f t="shared" si="111"/>
        <v>131.32</v>
      </c>
      <c r="Q182" s="168">
        <f t="shared" si="115"/>
        <v>96.813359999999989</v>
      </c>
      <c r="R182" s="169">
        <f t="shared" si="116"/>
        <v>691.13981999999999</v>
      </c>
      <c r="S182" s="169">
        <f t="shared" si="117"/>
        <v>787.95</v>
      </c>
      <c r="T182" s="161">
        <f t="shared" si="107"/>
        <v>4.9844519827045499E-4</v>
      </c>
    </row>
    <row r="183" spans="1:20" ht="30" customHeight="1" x14ac:dyDescent="0.25">
      <c r="A183" s="341"/>
      <c r="B183" s="205" t="s">
        <v>1419</v>
      </c>
      <c r="C183" s="160" t="s">
        <v>915</v>
      </c>
      <c r="D183" s="160" t="s">
        <v>124</v>
      </c>
      <c r="E183" s="210" t="s">
        <v>916</v>
      </c>
      <c r="F183" s="203" t="s">
        <v>35</v>
      </c>
      <c r="G183" s="204">
        <v>123.5</v>
      </c>
      <c r="H183" s="396">
        <v>14.53</v>
      </c>
      <c r="I183" s="397">
        <v>38.159999999999997</v>
      </c>
      <c r="J183" s="167">
        <f t="shared" si="98"/>
        <v>52.69</v>
      </c>
      <c r="K183" s="168">
        <f t="shared" si="112"/>
        <v>1794.4549999999999</v>
      </c>
      <c r="L183" s="169">
        <f t="shared" si="113"/>
        <v>4712.7599999999993</v>
      </c>
      <c r="M183" s="170">
        <f t="shared" si="114"/>
        <v>6507.21</v>
      </c>
      <c r="N183" s="165">
        <f t="shared" si="120"/>
        <v>18.607118</v>
      </c>
      <c r="O183" s="166">
        <f t="shared" si="120"/>
        <v>48.867695999999995</v>
      </c>
      <c r="P183" s="167">
        <f t="shared" si="111"/>
        <v>67.47</v>
      </c>
      <c r="Q183" s="168">
        <f t="shared" si="115"/>
        <v>2297.979073</v>
      </c>
      <c r="R183" s="169">
        <f t="shared" si="116"/>
        <v>6035.1604559999996</v>
      </c>
      <c r="S183" s="169">
        <f t="shared" si="117"/>
        <v>8333.1299999999992</v>
      </c>
      <c r="T183" s="161">
        <f t="shared" si="107"/>
        <v>5.2714114284706844E-3</v>
      </c>
    </row>
    <row r="184" spans="1:20" ht="30" customHeight="1" x14ac:dyDescent="0.25">
      <c r="A184" s="341"/>
      <c r="B184" s="205" t="s">
        <v>1420</v>
      </c>
      <c r="C184" s="160" t="s">
        <v>918</v>
      </c>
      <c r="D184" s="171" t="s">
        <v>124</v>
      </c>
      <c r="E184" s="163" t="s">
        <v>919</v>
      </c>
      <c r="F184" s="160" t="s">
        <v>22</v>
      </c>
      <c r="G184" s="164">
        <v>110</v>
      </c>
      <c r="H184" s="398">
        <v>14.83</v>
      </c>
      <c r="I184" s="166">
        <v>33.25</v>
      </c>
      <c r="J184" s="167">
        <f t="shared" si="98"/>
        <v>48.08</v>
      </c>
      <c r="K184" s="168">
        <f t="shared" si="112"/>
        <v>1631.3</v>
      </c>
      <c r="L184" s="169">
        <f t="shared" si="113"/>
        <v>3657.5</v>
      </c>
      <c r="M184" s="170">
        <f t="shared" si="114"/>
        <v>5288.8</v>
      </c>
      <c r="N184" s="165">
        <f t="shared" si="120"/>
        <v>18.991298</v>
      </c>
      <c r="O184" s="166">
        <f t="shared" si="120"/>
        <v>42.579949999999997</v>
      </c>
      <c r="P184" s="167">
        <f t="shared" si="111"/>
        <v>61.57</v>
      </c>
      <c r="Q184" s="168">
        <f t="shared" si="115"/>
        <v>2089.0427800000002</v>
      </c>
      <c r="R184" s="169">
        <f t="shared" si="116"/>
        <v>4683.7945</v>
      </c>
      <c r="S184" s="169">
        <f t="shared" si="117"/>
        <v>6772.83</v>
      </c>
      <c r="T184" s="161">
        <f t="shared" si="107"/>
        <v>4.2843893549109526E-3</v>
      </c>
    </row>
    <row r="185" spans="1:20" ht="30" customHeight="1" x14ac:dyDescent="0.25">
      <c r="A185" s="341"/>
      <c r="B185" s="205" t="s">
        <v>1421</v>
      </c>
      <c r="C185" s="160" t="s">
        <v>1204</v>
      </c>
      <c r="D185" s="160" t="s">
        <v>124</v>
      </c>
      <c r="E185" s="210" t="s">
        <v>1205</v>
      </c>
      <c r="F185" s="203" t="s">
        <v>35</v>
      </c>
      <c r="G185" s="204">
        <v>3</v>
      </c>
      <c r="H185" s="396">
        <v>3.32</v>
      </c>
      <c r="I185" s="397">
        <v>26.57</v>
      </c>
      <c r="J185" s="167">
        <f t="shared" si="98"/>
        <v>29.89</v>
      </c>
      <c r="K185" s="168">
        <f t="shared" si="112"/>
        <v>9.9599999999999991</v>
      </c>
      <c r="L185" s="169">
        <f t="shared" si="113"/>
        <v>79.710000000000008</v>
      </c>
      <c r="M185" s="170">
        <f t="shared" si="114"/>
        <v>89.67</v>
      </c>
      <c r="N185" s="165">
        <f t="shared" si="120"/>
        <v>4.2515919999999996</v>
      </c>
      <c r="O185" s="166">
        <f t="shared" si="120"/>
        <v>34.025542000000002</v>
      </c>
      <c r="P185" s="167">
        <f t="shared" si="111"/>
        <v>38.270000000000003</v>
      </c>
      <c r="Q185" s="168">
        <f t="shared" si="115"/>
        <v>12.754776</v>
      </c>
      <c r="R185" s="169">
        <f t="shared" si="116"/>
        <v>102.076626</v>
      </c>
      <c r="S185" s="169">
        <f t="shared" si="117"/>
        <v>114.83</v>
      </c>
      <c r="T185" s="161">
        <f t="shared" si="107"/>
        <v>7.2639713328759878E-5</v>
      </c>
    </row>
    <row r="186" spans="1:20" ht="30" customHeight="1" x14ac:dyDescent="0.25">
      <c r="A186" s="341"/>
      <c r="B186" s="205" t="s">
        <v>1422</v>
      </c>
      <c r="C186" s="160" t="s">
        <v>748</v>
      </c>
      <c r="D186" s="171" t="s">
        <v>124</v>
      </c>
      <c r="E186" s="163" t="s">
        <v>493</v>
      </c>
      <c r="F186" s="160" t="s">
        <v>225</v>
      </c>
      <c r="G186" s="164">
        <v>116</v>
      </c>
      <c r="H186" s="398">
        <v>2.95</v>
      </c>
      <c r="I186" s="166">
        <v>3.07</v>
      </c>
      <c r="J186" s="167">
        <f t="shared" si="98"/>
        <v>6.02</v>
      </c>
      <c r="K186" s="168">
        <f t="shared" si="112"/>
        <v>342.20000000000005</v>
      </c>
      <c r="L186" s="169">
        <f t="shared" si="113"/>
        <v>356.12</v>
      </c>
      <c r="M186" s="170">
        <f t="shared" si="114"/>
        <v>698.32</v>
      </c>
      <c r="N186" s="165">
        <f t="shared" si="120"/>
        <v>3.7777700000000003</v>
      </c>
      <c r="O186" s="166">
        <f t="shared" si="120"/>
        <v>3.9314419999999997</v>
      </c>
      <c r="P186" s="167">
        <f t="shared" si="111"/>
        <v>7.7</v>
      </c>
      <c r="Q186" s="168">
        <f t="shared" si="115"/>
        <v>438.22132000000005</v>
      </c>
      <c r="R186" s="169">
        <f t="shared" si="116"/>
        <v>456.04727199999996</v>
      </c>
      <c r="S186" s="169">
        <f t="shared" si="117"/>
        <v>894.26</v>
      </c>
      <c r="T186" s="161">
        <f t="shared" si="107"/>
        <v>5.656952890479561E-4</v>
      </c>
    </row>
    <row r="187" spans="1:20" ht="30" customHeight="1" x14ac:dyDescent="0.25">
      <c r="A187" s="341"/>
      <c r="B187" s="205" t="s">
        <v>1423</v>
      </c>
      <c r="C187" s="160">
        <v>12525</v>
      </c>
      <c r="D187" s="160" t="s">
        <v>175</v>
      </c>
      <c r="E187" s="210" t="s">
        <v>1207</v>
      </c>
      <c r="F187" s="203" t="s">
        <v>225</v>
      </c>
      <c r="G187" s="204">
        <v>8</v>
      </c>
      <c r="H187" s="396">
        <v>1.39</v>
      </c>
      <c r="I187" s="397">
        <v>13.55</v>
      </c>
      <c r="J187" s="167">
        <f t="shared" si="98"/>
        <v>14.94</v>
      </c>
      <c r="K187" s="168">
        <f t="shared" si="112"/>
        <v>11.12</v>
      </c>
      <c r="L187" s="169">
        <f t="shared" si="113"/>
        <v>108.4</v>
      </c>
      <c r="M187" s="170">
        <f t="shared" si="114"/>
        <v>119.52</v>
      </c>
      <c r="N187" s="165">
        <f t="shared" si="120"/>
        <v>1.7800339999999999</v>
      </c>
      <c r="O187" s="166">
        <f t="shared" si="120"/>
        <v>17.352129999999999</v>
      </c>
      <c r="P187" s="167">
        <f t="shared" si="111"/>
        <v>19.13</v>
      </c>
      <c r="Q187" s="168">
        <f t="shared" si="115"/>
        <v>14.240271999999999</v>
      </c>
      <c r="R187" s="169">
        <f t="shared" si="116"/>
        <v>138.81703999999999</v>
      </c>
      <c r="S187" s="169">
        <f t="shared" si="117"/>
        <v>153.05000000000001</v>
      </c>
      <c r="T187" s="161">
        <f t="shared" si="107"/>
        <v>9.6817104632645652E-5</v>
      </c>
    </row>
    <row r="188" spans="1:20" ht="30" customHeight="1" x14ac:dyDescent="0.25">
      <c r="A188" s="341"/>
      <c r="B188" s="205" t="s">
        <v>1424</v>
      </c>
      <c r="C188" s="160" t="s">
        <v>1208</v>
      </c>
      <c r="D188" s="160" t="s">
        <v>264</v>
      </c>
      <c r="E188" s="210" t="s">
        <v>1209</v>
      </c>
      <c r="F188" s="203" t="s">
        <v>35</v>
      </c>
      <c r="G188" s="204">
        <v>123.5</v>
      </c>
      <c r="H188" s="396">
        <v>2.09</v>
      </c>
      <c r="I188" s="397">
        <v>50.58</v>
      </c>
      <c r="J188" s="167">
        <f t="shared" si="98"/>
        <v>52.67</v>
      </c>
      <c r="K188" s="168">
        <f t="shared" si="112"/>
        <v>258.11500000000001</v>
      </c>
      <c r="L188" s="169">
        <f t="shared" si="113"/>
        <v>6246.63</v>
      </c>
      <c r="M188" s="170">
        <f t="shared" si="114"/>
        <v>6504.74</v>
      </c>
      <c r="N188" s="165">
        <f t="shared" si="120"/>
        <v>2.6764539999999997</v>
      </c>
      <c r="O188" s="166">
        <f t="shared" si="120"/>
        <v>64.772747999999993</v>
      </c>
      <c r="P188" s="167">
        <f t="shared" si="111"/>
        <v>67.44</v>
      </c>
      <c r="Q188" s="168">
        <f t="shared" si="115"/>
        <v>330.54206899999997</v>
      </c>
      <c r="R188" s="169">
        <f t="shared" si="116"/>
        <v>7999.434377999999</v>
      </c>
      <c r="S188" s="169">
        <f t="shared" si="117"/>
        <v>8329.9699999999993</v>
      </c>
      <c r="T188" s="161">
        <f t="shared" si="107"/>
        <v>5.2694124604821899E-3</v>
      </c>
    </row>
    <row r="189" spans="1:20" ht="30" customHeight="1" x14ac:dyDescent="0.25">
      <c r="A189" s="341"/>
      <c r="B189" s="205" t="s">
        <v>1425</v>
      </c>
      <c r="C189" s="160" t="s">
        <v>1210</v>
      </c>
      <c r="D189" s="160" t="s">
        <v>842</v>
      </c>
      <c r="E189" s="210" t="s">
        <v>1211</v>
      </c>
      <c r="F189" s="203" t="s">
        <v>22</v>
      </c>
      <c r="G189" s="204">
        <v>6</v>
      </c>
      <c r="H189" s="396">
        <v>3.76</v>
      </c>
      <c r="I189" s="397">
        <v>5.03</v>
      </c>
      <c r="J189" s="167">
        <f t="shared" si="98"/>
        <v>8.7899999999999991</v>
      </c>
      <c r="K189" s="168">
        <f t="shared" si="112"/>
        <v>22.56</v>
      </c>
      <c r="L189" s="169">
        <f t="shared" si="113"/>
        <v>30.18</v>
      </c>
      <c r="M189" s="170">
        <f t="shared" si="114"/>
        <v>52.74</v>
      </c>
      <c r="N189" s="165">
        <f t="shared" si="120"/>
        <v>4.8150559999999993</v>
      </c>
      <c r="O189" s="166">
        <f t="shared" si="120"/>
        <v>6.4414180000000005</v>
      </c>
      <c r="P189" s="167">
        <f t="shared" si="111"/>
        <v>11.25</v>
      </c>
      <c r="Q189" s="168">
        <f t="shared" si="115"/>
        <v>28.890335999999998</v>
      </c>
      <c r="R189" s="169">
        <f t="shared" si="116"/>
        <v>38.648508000000007</v>
      </c>
      <c r="S189" s="169">
        <f t="shared" si="117"/>
        <v>67.53</v>
      </c>
      <c r="T189" s="161">
        <f t="shared" si="107"/>
        <v>4.2718451981983402E-5</v>
      </c>
    </row>
    <row r="190" spans="1:20" ht="30" customHeight="1" x14ac:dyDescent="0.25">
      <c r="A190" s="341"/>
      <c r="B190" s="364" t="s">
        <v>1042</v>
      </c>
      <c r="C190" s="362"/>
      <c r="D190" s="363"/>
      <c r="E190" s="343" t="s">
        <v>28</v>
      </c>
      <c r="F190" s="342"/>
      <c r="G190" s="361"/>
      <c r="H190" s="350"/>
      <c r="I190" s="351"/>
      <c r="J190" s="352">
        <f t="shared" si="98"/>
        <v>0</v>
      </c>
      <c r="K190" s="348">
        <f>SUM(K191)</f>
        <v>8820</v>
      </c>
      <c r="L190" s="348">
        <f t="shared" ref="L190:M190" si="121">SUM(L191)</f>
        <v>0</v>
      </c>
      <c r="M190" s="348">
        <f t="shared" si="121"/>
        <v>8820</v>
      </c>
      <c r="N190" s="350">
        <f t="shared" si="120"/>
        <v>0</v>
      </c>
      <c r="O190" s="351">
        <f t="shared" si="120"/>
        <v>0</v>
      </c>
      <c r="P190" s="352">
        <f t="shared" si="111"/>
        <v>0</v>
      </c>
      <c r="Q190" s="348">
        <f>SUM(Q191)</f>
        <v>11294.892</v>
      </c>
      <c r="R190" s="348">
        <f t="shared" ref="R190:S190" si="122">SUM(R191)</f>
        <v>0</v>
      </c>
      <c r="S190" s="348">
        <f t="shared" si="122"/>
        <v>11294.89</v>
      </c>
      <c r="T190" s="349">
        <f t="shared" si="107"/>
        <v>7.1449758049279503E-3</v>
      </c>
    </row>
    <row r="191" spans="1:20" ht="30" customHeight="1" x14ac:dyDescent="0.25">
      <c r="A191" s="341"/>
      <c r="B191" s="205" t="s">
        <v>1043</v>
      </c>
      <c r="C191" s="160" t="s">
        <v>766</v>
      </c>
      <c r="D191" s="160" t="s">
        <v>212</v>
      </c>
      <c r="E191" s="210" t="s">
        <v>767</v>
      </c>
      <c r="F191" s="203" t="s">
        <v>768</v>
      </c>
      <c r="G191" s="204">
        <v>420</v>
      </c>
      <c r="H191" s="205">
        <v>21</v>
      </c>
      <c r="I191" s="365">
        <v>0</v>
      </c>
      <c r="J191" s="167">
        <f t="shared" si="98"/>
        <v>21</v>
      </c>
      <c r="K191" s="168">
        <f t="shared" si="112"/>
        <v>8820</v>
      </c>
      <c r="L191" s="169">
        <f t="shared" si="113"/>
        <v>0</v>
      </c>
      <c r="M191" s="170">
        <f t="shared" si="114"/>
        <v>8820</v>
      </c>
      <c r="N191" s="165">
        <f t="shared" si="120"/>
        <v>26.892599999999998</v>
      </c>
      <c r="O191" s="166">
        <f t="shared" si="120"/>
        <v>0</v>
      </c>
      <c r="P191" s="167">
        <f t="shared" si="111"/>
        <v>26.89</v>
      </c>
      <c r="Q191" s="168">
        <f t="shared" si="115"/>
        <v>11294.892</v>
      </c>
      <c r="R191" s="169">
        <f t="shared" si="116"/>
        <v>0</v>
      </c>
      <c r="S191" s="169">
        <f t="shared" si="117"/>
        <v>11294.89</v>
      </c>
      <c r="T191" s="161">
        <f t="shared" si="107"/>
        <v>7.1449758049279503E-3</v>
      </c>
    </row>
    <row r="192" spans="1:20" ht="30" customHeight="1" x14ac:dyDescent="0.25">
      <c r="A192" s="341"/>
      <c r="B192" s="205"/>
      <c r="C192" s="160"/>
      <c r="D192" s="160"/>
      <c r="E192" s="210"/>
      <c r="F192" s="203"/>
      <c r="G192" s="204"/>
      <c r="H192" s="205"/>
      <c r="I192" s="203"/>
      <c r="J192" s="167">
        <f t="shared" si="98"/>
        <v>0</v>
      </c>
      <c r="K192" s="168">
        <f t="shared" si="112"/>
        <v>0</v>
      </c>
      <c r="L192" s="169">
        <f t="shared" si="113"/>
        <v>0</v>
      </c>
      <c r="M192" s="170">
        <f t="shared" si="114"/>
        <v>0</v>
      </c>
      <c r="N192" s="165">
        <f t="shared" si="120"/>
        <v>0</v>
      </c>
      <c r="O192" s="166">
        <f t="shared" si="120"/>
        <v>0</v>
      </c>
      <c r="P192" s="167">
        <f t="shared" si="111"/>
        <v>0</v>
      </c>
      <c r="Q192" s="168">
        <f t="shared" si="115"/>
        <v>0</v>
      </c>
      <c r="R192" s="169">
        <f t="shared" si="116"/>
        <v>0</v>
      </c>
      <c r="S192" s="169">
        <f t="shared" si="117"/>
        <v>0</v>
      </c>
      <c r="T192" s="161">
        <f t="shared" si="107"/>
        <v>0</v>
      </c>
    </row>
    <row r="193" spans="1:20" ht="30" customHeight="1" x14ac:dyDescent="0.25">
      <c r="A193" s="341"/>
      <c r="B193" s="326">
        <v>13</v>
      </c>
      <c r="C193" s="356"/>
      <c r="D193" s="356"/>
      <c r="E193" s="328" t="s">
        <v>1046</v>
      </c>
      <c r="F193" s="339"/>
      <c r="G193" s="357"/>
      <c r="H193" s="338"/>
      <c r="I193" s="339"/>
      <c r="J193" s="340">
        <f t="shared" si="98"/>
        <v>0</v>
      </c>
      <c r="K193" s="337">
        <f>SUM(K194)</f>
        <v>4940.3588</v>
      </c>
      <c r="L193" s="337">
        <f t="shared" ref="L193:M193" si="123">SUM(L194)</f>
        <v>4216.3407000000007</v>
      </c>
      <c r="M193" s="337">
        <f t="shared" si="123"/>
        <v>9156.69</v>
      </c>
      <c r="N193" s="358">
        <f t="shared" si="120"/>
        <v>0</v>
      </c>
      <c r="O193" s="359">
        <f t="shared" si="120"/>
        <v>0</v>
      </c>
      <c r="P193" s="360">
        <f t="shared" si="111"/>
        <v>0</v>
      </c>
      <c r="Q193" s="337">
        <f>SUM(Q194)</f>
        <v>6326.6234792800005</v>
      </c>
      <c r="R193" s="337">
        <f t="shared" ref="R193:S193" si="124">SUM(R194)</f>
        <v>5399.4459004199998</v>
      </c>
      <c r="S193" s="337">
        <f t="shared" si="124"/>
        <v>11726.06</v>
      </c>
      <c r="T193" s="333">
        <f t="shared" si="107"/>
        <v>7.4177273959404157E-3</v>
      </c>
    </row>
    <row r="194" spans="1:20" ht="30" customHeight="1" x14ac:dyDescent="0.25">
      <c r="A194" s="341"/>
      <c r="B194" s="205" t="s">
        <v>1047</v>
      </c>
      <c r="C194" s="160">
        <v>2450</v>
      </c>
      <c r="D194" s="160" t="s">
        <v>175</v>
      </c>
      <c r="E194" s="210" t="s">
        <v>1351</v>
      </c>
      <c r="F194" s="203" t="s">
        <v>2</v>
      </c>
      <c r="G194" s="204">
        <v>4258.93</v>
      </c>
      <c r="H194" s="205">
        <v>1.1599999999999999</v>
      </c>
      <c r="I194" s="203">
        <v>0.99</v>
      </c>
      <c r="J194" s="167">
        <f t="shared" si="98"/>
        <v>2.15</v>
      </c>
      <c r="K194" s="168">
        <f t="shared" si="112"/>
        <v>4940.3588</v>
      </c>
      <c r="L194" s="169">
        <f t="shared" si="113"/>
        <v>4216.3407000000007</v>
      </c>
      <c r="M194" s="170">
        <f t="shared" si="114"/>
        <v>9156.69</v>
      </c>
      <c r="N194" s="165">
        <f t="shared" si="120"/>
        <v>1.4854959999999999</v>
      </c>
      <c r="O194" s="166">
        <f t="shared" si="120"/>
        <v>1.2677939999999999</v>
      </c>
      <c r="P194" s="167">
        <f t="shared" si="111"/>
        <v>2.75</v>
      </c>
      <c r="Q194" s="168">
        <f t="shared" si="115"/>
        <v>6326.6234792800005</v>
      </c>
      <c r="R194" s="169">
        <f t="shared" si="116"/>
        <v>5399.4459004199998</v>
      </c>
      <c r="S194" s="169">
        <f t="shared" si="117"/>
        <v>11726.06</v>
      </c>
      <c r="T194" s="161">
        <f t="shared" si="107"/>
        <v>7.4177273959404157E-3</v>
      </c>
    </row>
    <row r="195" spans="1:20" ht="30" customHeight="1" x14ac:dyDescent="0.25">
      <c r="A195" s="341"/>
      <c r="B195" s="205"/>
      <c r="C195" s="160"/>
      <c r="D195" s="160"/>
      <c r="E195" s="210"/>
      <c r="F195" s="203"/>
      <c r="G195" s="414"/>
      <c r="H195" s="205"/>
      <c r="I195" s="365"/>
      <c r="J195" s="167"/>
      <c r="K195" s="168"/>
      <c r="L195" s="169"/>
      <c r="M195" s="415"/>
      <c r="N195" s="165"/>
      <c r="O195" s="166"/>
      <c r="P195" s="167"/>
      <c r="Q195" s="168"/>
      <c r="R195" s="169"/>
      <c r="S195" s="169"/>
      <c r="T195" s="416"/>
    </row>
    <row r="196" spans="1:20" ht="6.95" customHeight="1" thickBot="1" x14ac:dyDescent="0.3">
      <c r="B196" s="216"/>
      <c r="C196" s="217"/>
      <c r="D196" s="217"/>
      <c r="E196" s="218"/>
      <c r="F196" s="217"/>
      <c r="G196" s="219"/>
      <c r="H196" s="217"/>
      <c r="I196" s="217"/>
      <c r="J196" s="217"/>
      <c r="K196" s="217"/>
      <c r="L196" s="217"/>
      <c r="M196" s="219"/>
      <c r="N196" s="217"/>
      <c r="O196" s="217"/>
      <c r="P196" s="217"/>
      <c r="Q196" s="217"/>
      <c r="R196" s="217"/>
      <c r="S196" s="217"/>
    </row>
    <row r="197" spans="1:20" x14ac:dyDescent="0.25">
      <c r="B197" s="220"/>
      <c r="C197" s="192"/>
      <c r="D197" s="192"/>
      <c r="E197" s="220"/>
      <c r="F197" s="220"/>
      <c r="G197" s="221"/>
      <c r="H197" s="222"/>
      <c r="I197" s="223"/>
      <c r="J197" s="224"/>
      <c r="K197" s="225"/>
      <c r="L197" s="226"/>
      <c r="M197" s="227"/>
      <c r="N197" s="222"/>
      <c r="O197" s="223"/>
      <c r="P197" s="224"/>
      <c r="Q197" s="225"/>
      <c r="R197" s="226"/>
      <c r="S197" s="227"/>
    </row>
    <row r="198" spans="1:20" x14ac:dyDescent="0.25">
      <c r="B198" s="229"/>
      <c r="C198" s="229"/>
      <c r="D198" s="229"/>
      <c r="E198" s="229"/>
      <c r="F198" s="229"/>
      <c r="G198" s="229"/>
      <c r="H198" s="230"/>
      <c r="I198" s="231"/>
      <c r="J198" s="232" t="s">
        <v>142</v>
      </c>
      <c r="K198" s="233">
        <f t="shared" ref="K198:L198" si="125">K193+K119+K115+K103+K80+K70+K62+K59+K41+K38+K28+K20+K15</f>
        <v>345931.79200000002</v>
      </c>
      <c r="L198" s="233">
        <f t="shared" si="125"/>
        <v>888502.39635000017</v>
      </c>
      <c r="M198" s="233">
        <f>M193+M119+M115+M103+M80+M70+M62+M59+M41+M38+M28+M20+M15</f>
        <v>1234434.08</v>
      </c>
      <c r="N198" s="230"/>
      <c r="O198" s="231"/>
      <c r="P198" s="232" t="s">
        <v>143</v>
      </c>
      <c r="Q198" s="233">
        <f t="shared" ref="Q198:R198" si="126">Q193+Q119+Q115+Q103+Q80+Q70+Q62+Q59+Q41+Q38+Q28+Q20+Q15</f>
        <v>443000.25283519994</v>
      </c>
      <c r="R198" s="233">
        <f t="shared" si="126"/>
        <v>1137816.1687658103</v>
      </c>
      <c r="S198" s="233">
        <f>S193+S119+S115+S103+S80+S70+S62+S59+S41+S38+S28+S20+S15</f>
        <v>1580815.71</v>
      </c>
      <c r="T198" s="234"/>
    </row>
    <row r="199" spans="1:20" ht="13.5" thickBot="1" x14ac:dyDescent="0.3">
      <c r="B199" s="209"/>
      <c r="C199" s="192"/>
      <c r="D199" s="192"/>
      <c r="E199" s="235"/>
      <c r="F199" s="209"/>
      <c r="G199" s="236"/>
      <c r="H199" s="237"/>
      <c r="I199" s="238"/>
      <c r="J199" s="239"/>
      <c r="K199" s="240"/>
      <c r="L199" s="241"/>
      <c r="M199" s="242"/>
      <c r="N199" s="237"/>
      <c r="O199" s="238"/>
      <c r="P199" s="239"/>
      <c r="Q199" s="240"/>
      <c r="R199" s="241"/>
      <c r="S199" s="242"/>
    </row>
    <row r="200" spans="1:20" ht="13.5" thickBot="1" x14ac:dyDescent="0.3">
      <c r="H200" s="237"/>
      <c r="I200" s="238"/>
      <c r="J200" s="239"/>
      <c r="K200" s="240"/>
      <c r="L200" s="241"/>
      <c r="M200" s="242"/>
      <c r="N200" s="237"/>
      <c r="O200" s="238"/>
      <c r="P200" s="239"/>
      <c r="Q200" s="240"/>
      <c r="R200" s="241"/>
      <c r="S200" s="242"/>
    </row>
    <row r="201" spans="1:20" ht="13.5" thickBot="1" x14ac:dyDescent="0.3"/>
    <row r="202" spans="1:20" x14ac:dyDescent="0.25">
      <c r="H202" s="655" t="s">
        <v>308</v>
      </c>
      <c r="I202" s="656"/>
      <c r="J202" s="656"/>
      <c r="K202" s="656"/>
      <c r="L202" s="656"/>
      <c r="M202" s="656"/>
      <c r="N202" s="661" t="s">
        <v>309</v>
      </c>
      <c r="O202" s="661"/>
      <c r="P202" s="661"/>
      <c r="Q202" s="298">
        <f>+'ORÇ. SINTÉTICO ONERADO'!Q201</f>
        <v>380828.17033711995</v>
      </c>
      <c r="R202" s="298">
        <f>+'ORÇ. SINTÉTICO ONERADO'!R201</f>
        <v>741446.40023646003</v>
      </c>
      <c r="S202" s="299">
        <f>+'ORÇ. SINTÉTICO ONERADO'!S201</f>
        <v>1122273.92</v>
      </c>
    </row>
    <row r="203" spans="1:20" x14ac:dyDescent="0.25">
      <c r="H203" s="657"/>
      <c r="I203" s="658"/>
      <c r="J203" s="658"/>
      <c r="K203" s="658"/>
      <c r="L203" s="658"/>
      <c r="M203" s="658"/>
      <c r="P203" s="300" t="s">
        <v>310</v>
      </c>
      <c r="Q203" s="301">
        <f>+(Q202/Q198)-1</f>
        <v>-0.14034322125140763</v>
      </c>
      <c r="R203" s="301">
        <f t="shared" ref="R203:S203" si="127">+(R202/R198)-1</f>
        <v>-0.3483601124769502</v>
      </c>
      <c r="S203" s="301">
        <f t="shared" si="127"/>
        <v>-0.2900665694927842</v>
      </c>
    </row>
    <row r="204" spans="1:20" x14ac:dyDescent="0.25">
      <c r="H204" s="657"/>
      <c r="I204" s="658"/>
      <c r="J204" s="658"/>
      <c r="K204" s="658"/>
      <c r="L204" s="658"/>
      <c r="M204" s="658"/>
      <c r="S204" s="302"/>
    </row>
    <row r="205" spans="1:20" ht="13.5" thickBot="1" x14ac:dyDescent="0.3">
      <c r="H205" s="659"/>
      <c r="I205" s="660"/>
      <c r="J205" s="660"/>
      <c r="K205" s="660"/>
      <c r="L205" s="660"/>
      <c r="M205" s="660"/>
      <c r="N205" s="660" t="s">
        <v>311</v>
      </c>
      <c r="O205" s="660"/>
      <c r="P205" s="660"/>
      <c r="Q205" s="238"/>
      <c r="R205" s="238"/>
      <c r="S205" s="303" t="str">
        <f>+IF(S202&lt;S198,"ONERADO","DESONERADO")</f>
        <v>ONERADO</v>
      </c>
    </row>
    <row r="206" spans="1:20" x14ac:dyDescent="0.25">
      <c r="S206" s="244"/>
    </row>
    <row r="215" spans="13:13" x14ac:dyDescent="0.25">
      <c r="M215" s="202"/>
    </row>
    <row r="216" spans="13:13" x14ac:dyDescent="0.25">
      <c r="M216" s="202"/>
    </row>
    <row r="217" spans="13:13" x14ac:dyDescent="0.25">
      <c r="M217" s="202"/>
    </row>
    <row r="218" spans="13:13" x14ac:dyDescent="0.25">
      <c r="M218" s="202"/>
    </row>
  </sheetData>
  <mergeCells count="17">
    <mergeCell ref="B1:T6"/>
    <mergeCell ref="Q13:R13"/>
    <mergeCell ref="S13:S14"/>
    <mergeCell ref="T13:T14"/>
    <mergeCell ref="C11:O11"/>
    <mergeCell ref="B13:B14"/>
    <mergeCell ref="C13:C14"/>
    <mergeCell ref="D13:D14"/>
    <mergeCell ref="E13:E14"/>
    <mergeCell ref="F13:F14"/>
    <mergeCell ref="G13:G14"/>
    <mergeCell ref="H13:J13"/>
    <mergeCell ref="K13:M13"/>
    <mergeCell ref="N13:P13"/>
    <mergeCell ref="H202:M205"/>
    <mergeCell ref="N202:P202"/>
    <mergeCell ref="N205:P205"/>
  </mergeCells>
  <phoneticPr fontId="63" type="noConversion"/>
  <printOptions horizontalCentered="1"/>
  <pageMargins left="0.39370078740157483" right="0.39370078740157483" top="0.39370078740157483" bottom="0.98425196850393704" header="0.31496062992125984" footer="0.31496062992125984"/>
  <pageSetup paperSize="9" scale="52" orientation="landscape" horizontalDpi="1200" verticalDpi="1200" r:id="rId1"/>
  <headerFooter>
    <oddFooter>&amp;L&amp;"Arial Narrow,Normal"&amp;10&amp;A
&amp;F&amp;C&amp;"Arial Narrow,Negrito"&amp;10ENG. CIVIL THIAGO ALVES SILVA&amp;"Arial Narrow,Normal"
CREA 1004804750/D-GO&amp;R&amp;"Arial Narrow,Normal"&amp;10Página &amp;P de &amp;N</oddFooter>
  </headerFooter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AU74"/>
  <sheetViews>
    <sheetView showGridLines="0" view="pageBreakPreview" zoomScaleNormal="100" zoomScaleSheetLayoutView="100" workbookViewId="0">
      <selection activeCell="Z18" sqref="Z18"/>
    </sheetView>
  </sheetViews>
  <sheetFormatPr defaultColWidth="3.5703125" defaultRowHeight="12.75" x14ac:dyDescent="0.25"/>
  <cols>
    <col min="1" max="1" width="1.5703125" style="262" customWidth="1"/>
    <col min="2" max="2" width="5.42578125" style="262" customWidth="1"/>
    <col min="3" max="3" width="2.5703125" style="262" customWidth="1"/>
    <col min="4" max="5" width="5.42578125" style="262" customWidth="1"/>
    <col min="6" max="6" width="10.42578125" style="262" customWidth="1"/>
    <col min="7" max="14" width="6.5703125" style="262" customWidth="1"/>
    <col min="15" max="15" width="4.42578125" style="262" customWidth="1"/>
    <col min="16" max="22" width="5.5703125" style="262" customWidth="1"/>
    <col min="23" max="24" width="4.42578125" style="262" customWidth="1"/>
    <col min="25" max="25" width="8.42578125" style="262" customWidth="1"/>
    <col min="26" max="26" width="1.5703125" style="295" customWidth="1"/>
    <col min="27" max="27" width="3.5703125" style="262" customWidth="1"/>
    <col min="28" max="28" width="19.42578125" style="265" customWidth="1"/>
    <col min="29" max="29" width="8.5703125" style="265" customWidth="1"/>
    <col min="30" max="31" width="9.140625" style="265" customWidth="1"/>
    <col min="32" max="32" width="3.5703125" style="265"/>
    <col min="33" max="33" width="10.85546875" style="265" hidden="1" customWidth="1"/>
    <col min="34" max="34" width="7" style="265" hidden="1" customWidth="1"/>
    <col min="35" max="36" width="3.5703125" style="265"/>
    <col min="37" max="41" width="3.5703125" style="262"/>
    <col min="42" max="42" width="5.5703125" style="262" bestFit="1" customWidth="1"/>
    <col min="43" max="44" width="3.5703125" style="262"/>
    <col min="45" max="45" width="6.5703125" style="262" bestFit="1" customWidth="1"/>
    <col min="46" max="46" width="3.5703125" style="262"/>
    <col min="47" max="47" width="5.5703125" style="262" bestFit="1" customWidth="1"/>
    <col min="48" max="259" width="3.5703125" style="262"/>
    <col min="260" max="260" width="11.42578125" style="262" customWidth="1"/>
    <col min="261" max="261" width="1.85546875" style="262" customWidth="1"/>
    <col min="262" max="265" width="5.42578125" style="262" customWidth="1"/>
    <col min="266" max="266" width="10.42578125" style="262" customWidth="1"/>
    <col min="267" max="267" width="7.85546875" style="262" customWidth="1"/>
    <col min="268" max="268" width="8.85546875" style="262" customWidth="1"/>
    <col min="269" max="269" width="8.42578125" style="262" customWidth="1"/>
    <col min="270" max="270" width="4.42578125" style="262" customWidth="1"/>
    <col min="271" max="272" width="4.140625" style="262" customWidth="1"/>
    <col min="273" max="273" width="6.85546875" style="262" customWidth="1"/>
    <col min="274" max="274" width="4.140625" style="262" customWidth="1"/>
    <col min="275" max="280" width="4.42578125" style="262" customWidth="1"/>
    <col min="281" max="281" width="7" style="262" customWidth="1"/>
    <col min="282" max="282" width="0" style="262" hidden="1" customWidth="1"/>
    <col min="283" max="286" width="3.5703125" style="262" customWidth="1"/>
    <col min="287" max="288" width="3.5703125" style="262"/>
    <col min="289" max="290" width="0" style="262" hidden="1" customWidth="1"/>
    <col min="291" max="297" width="3.5703125" style="262"/>
    <col min="298" max="298" width="5.5703125" style="262" bestFit="1" customWidth="1"/>
    <col min="299" max="300" width="3.5703125" style="262"/>
    <col min="301" max="301" width="6.5703125" style="262" bestFit="1" customWidth="1"/>
    <col min="302" max="302" width="3.5703125" style="262"/>
    <col min="303" max="303" width="5.5703125" style="262" bestFit="1" customWidth="1"/>
    <col min="304" max="515" width="3.5703125" style="262"/>
    <col min="516" max="516" width="11.42578125" style="262" customWidth="1"/>
    <col min="517" max="517" width="1.85546875" style="262" customWidth="1"/>
    <col min="518" max="521" width="5.42578125" style="262" customWidth="1"/>
    <col min="522" max="522" width="10.42578125" style="262" customWidth="1"/>
    <col min="523" max="523" width="7.85546875" style="262" customWidth="1"/>
    <col min="524" max="524" width="8.85546875" style="262" customWidth="1"/>
    <col min="525" max="525" width="8.42578125" style="262" customWidth="1"/>
    <col min="526" max="526" width="4.42578125" style="262" customWidth="1"/>
    <col min="527" max="528" width="4.140625" style="262" customWidth="1"/>
    <col min="529" max="529" width="6.85546875" style="262" customWidth="1"/>
    <col min="530" max="530" width="4.140625" style="262" customWidth="1"/>
    <col min="531" max="536" width="4.42578125" style="262" customWidth="1"/>
    <col min="537" max="537" width="7" style="262" customWidth="1"/>
    <col min="538" max="538" width="0" style="262" hidden="1" customWidth="1"/>
    <col min="539" max="542" width="3.5703125" style="262" customWidth="1"/>
    <col min="543" max="544" width="3.5703125" style="262"/>
    <col min="545" max="546" width="0" style="262" hidden="1" customWidth="1"/>
    <col min="547" max="553" width="3.5703125" style="262"/>
    <col min="554" max="554" width="5.5703125" style="262" bestFit="1" customWidth="1"/>
    <col min="555" max="556" width="3.5703125" style="262"/>
    <col min="557" max="557" width="6.5703125" style="262" bestFit="1" customWidth="1"/>
    <col min="558" max="558" width="3.5703125" style="262"/>
    <col min="559" max="559" width="5.5703125" style="262" bestFit="1" customWidth="1"/>
    <col min="560" max="771" width="3.5703125" style="262"/>
    <col min="772" max="772" width="11.42578125" style="262" customWidth="1"/>
    <col min="773" max="773" width="1.85546875" style="262" customWidth="1"/>
    <col min="774" max="777" width="5.42578125" style="262" customWidth="1"/>
    <col min="778" max="778" width="10.42578125" style="262" customWidth="1"/>
    <col min="779" max="779" width="7.85546875" style="262" customWidth="1"/>
    <col min="780" max="780" width="8.85546875" style="262" customWidth="1"/>
    <col min="781" max="781" width="8.42578125" style="262" customWidth="1"/>
    <col min="782" max="782" width="4.42578125" style="262" customWidth="1"/>
    <col min="783" max="784" width="4.140625" style="262" customWidth="1"/>
    <col min="785" max="785" width="6.85546875" style="262" customWidth="1"/>
    <col min="786" max="786" width="4.140625" style="262" customWidth="1"/>
    <col min="787" max="792" width="4.42578125" style="262" customWidth="1"/>
    <col min="793" max="793" width="7" style="262" customWidth="1"/>
    <col min="794" max="794" width="0" style="262" hidden="1" customWidth="1"/>
    <col min="795" max="798" width="3.5703125" style="262" customWidth="1"/>
    <col min="799" max="800" width="3.5703125" style="262"/>
    <col min="801" max="802" width="0" style="262" hidden="1" customWidth="1"/>
    <col min="803" max="809" width="3.5703125" style="262"/>
    <col min="810" max="810" width="5.5703125" style="262" bestFit="1" customWidth="1"/>
    <col min="811" max="812" width="3.5703125" style="262"/>
    <col min="813" max="813" width="6.5703125" style="262" bestFit="1" customWidth="1"/>
    <col min="814" max="814" width="3.5703125" style="262"/>
    <col min="815" max="815" width="5.5703125" style="262" bestFit="1" customWidth="1"/>
    <col min="816" max="1027" width="3.5703125" style="262"/>
    <col min="1028" max="1028" width="11.42578125" style="262" customWidth="1"/>
    <col min="1029" max="1029" width="1.85546875" style="262" customWidth="1"/>
    <col min="1030" max="1033" width="5.42578125" style="262" customWidth="1"/>
    <col min="1034" max="1034" width="10.42578125" style="262" customWidth="1"/>
    <col min="1035" max="1035" width="7.85546875" style="262" customWidth="1"/>
    <col min="1036" max="1036" width="8.85546875" style="262" customWidth="1"/>
    <col min="1037" max="1037" width="8.42578125" style="262" customWidth="1"/>
    <col min="1038" max="1038" width="4.42578125" style="262" customWidth="1"/>
    <col min="1039" max="1040" width="4.140625" style="262" customWidth="1"/>
    <col min="1041" max="1041" width="6.85546875" style="262" customWidth="1"/>
    <col min="1042" max="1042" width="4.140625" style="262" customWidth="1"/>
    <col min="1043" max="1048" width="4.42578125" style="262" customWidth="1"/>
    <col min="1049" max="1049" width="7" style="262" customWidth="1"/>
    <col min="1050" max="1050" width="0" style="262" hidden="1" customWidth="1"/>
    <col min="1051" max="1054" width="3.5703125" style="262" customWidth="1"/>
    <col min="1055" max="1056" width="3.5703125" style="262"/>
    <col min="1057" max="1058" width="0" style="262" hidden="1" customWidth="1"/>
    <col min="1059" max="1065" width="3.5703125" style="262"/>
    <col min="1066" max="1066" width="5.5703125" style="262" bestFit="1" customWidth="1"/>
    <col min="1067" max="1068" width="3.5703125" style="262"/>
    <col min="1069" max="1069" width="6.5703125" style="262" bestFit="1" customWidth="1"/>
    <col min="1070" max="1070" width="3.5703125" style="262"/>
    <col min="1071" max="1071" width="5.5703125" style="262" bestFit="1" customWidth="1"/>
    <col min="1072" max="1283" width="3.5703125" style="262"/>
    <col min="1284" max="1284" width="11.42578125" style="262" customWidth="1"/>
    <col min="1285" max="1285" width="1.85546875" style="262" customWidth="1"/>
    <col min="1286" max="1289" width="5.42578125" style="262" customWidth="1"/>
    <col min="1290" max="1290" width="10.42578125" style="262" customWidth="1"/>
    <col min="1291" max="1291" width="7.85546875" style="262" customWidth="1"/>
    <col min="1292" max="1292" width="8.85546875" style="262" customWidth="1"/>
    <col min="1293" max="1293" width="8.42578125" style="262" customWidth="1"/>
    <col min="1294" max="1294" width="4.42578125" style="262" customWidth="1"/>
    <col min="1295" max="1296" width="4.140625" style="262" customWidth="1"/>
    <col min="1297" max="1297" width="6.85546875" style="262" customWidth="1"/>
    <col min="1298" max="1298" width="4.140625" style="262" customWidth="1"/>
    <col min="1299" max="1304" width="4.42578125" style="262" customWidth="1"/>
    <col min="1305" max="1305" width="7" style="262" customWidth="1"/>
    <col min="1306" max="1306" width="0" style="262" hidden="1" customWidth="1"/>
    <col min="1307" max="1310" width="3.5703125" style="262" customWidth="1"/>
    <col min="1311" max="1312" width="3.5703125" style="262"/>
    <col min="1313" max="1314" width="0" style="262" hidden="1" customWidth="1"/>
    <col min="1315" max="1321" width="3.5703125" style="262"/>
    <col min="1322" max="1322" width="5.5703125" style="262" bestFit="1" customWidth="1"/>
    <col min="1323" max="1324" width="3.5703125" style="262"/>
    <col min="1325" max="1325" width="6.5703125" style="262" bestFit="1" customWidth="1"/>
    <col min="1326" max="1326" width="3.5703125" style="262"/>
    <col min="1327" max="1327" width="5.5703125" style="262" bestFit="1" customWidth="1"/>
    <col min="1328" max="1539" width="3.5703125" style="262"/>
    <col min="1540" max="1540" width="11.42578125" style="262" customWidth="1"/>
    <col min="1541" max="1541" width="1.85546875" style="262" customWidth="1"/>
    <col min="1542" max="1545" width="5.42578125" style="262" customWidth="1"/>
    <col min="1546" max="1546" width="10.42578125" style="262" customWidth="1"/>
    <col min="1547" max="1547" width="7.85546875" style="262" customWidth="1"/>
    <col min="1548" max="1548" width="8.85546875" style="262" customWidth="1"/>
    <col min="1549" max="1549" width="8.42578125" style="262" customWidth="1"/>
    <col min="1550" max="1550" width="4.42578125" style="262" customWidth="1"/>
    <col min="1551" max="1552" width="4.140625" style="262" customWidth="1"/>
    <col min="1553" max="1553" width="6.85546875" style="262" customWidth="1"/>
    <col min="1554" max="1554" width="4.140625" style="262" customWidth="1"/>
    <col min="1555" max="1560" width="4.42578125" style="262" customWidth="1"/>
    <col min="1561" max="1561" width="7" style="262" customWidth="1"/>
    <col min="1562" max="1562" width="0" style="262" hidden="1" customWidth="1"/>
    <col min="1563" max="1566" width="3.5703125" style="262" customWidth="1"/>
    <col min="1567" max="1568" width="3.5703125" style="262"/>
    <col min="1569" max="1570" width="0" style="262" hidden="1" customWidth="1"/>
    <col min="1571" max="1577" width="3.5703125" style="262"/>
    <col min="1578" max="1578" width="5.5703125" style="262" bestFit="1" customWidth="1"/>
    <col min="1579" max="1580" width="3.5703125" style="262"/>
    <col min="1581" max="1581" width="6.5703125" style="262" bestFit="1" customWidth="1"/>
    <col min="1582" max="1582" width="3.5703125" style="262"/>
    <col min="1583" max="1583" width="5.5703125" style="262" bestFit="1" customWidth="1"/>
    <col min="1584" max="1795" width="3.5703125" style="262"/>
    <col min="1796" max="1796" width="11.42578125" style="262" customWidth="1"/>
    <col min="1797" max="1797" width="1.85546875" style="262" customWidth="1"/>
    <col min="1798" max="1801" width="5.42578125" style="262" customWidth="1"/>
    <col min="1802" max="1802" width="10.42578125" style="262" customWidth="1"/>
    <col min="1803" max="1803" width="7.85546875" style="262" customWidth="1"/>
    <col min="1804" max="1804" width="8.85546875" style="262" customWidth="1"/>
    <col min="1805" max="1805" width="8.42578125" style="262" customWidth="1"/>
    <col min="1806" max="1806" width="4.42578125" style="262" customWidth="1"/>
    <col min="1807" max="1808" width="4.140625" style="262" customWidth="1"/>
    <col min="1809" max="1809" width="6.85546875" style="262" customWidth="1"/>
    <col min="1810" max="1810" width="4.140625" style="262" customWidth="1"/>
    <col min="1811" max="1816" width="4.42578125" style="262" customWidth="1"/>
    <col min="1817" max="1817" width="7" style="262" customWidth="1"/>
    <col min="1818" max="1818" width="0" style="262" hidden="1" customWidth="1"/>
    <col min="1819" max="1822" width="3.5703125" style="262" customWidth="1"/>
    <col min="1823" max="1824" width="3.5703125" style="262"/>
    <col min="1825" max="1826" width="0" style="262" hidden="1" customWidth="1"/>
    <col min="1827" max="1833" width="3.5703125" style="262"/>
    <col min="1834" max="1834" width="5.5703125" style="262" bestFit="1" customWidth="1"/>
    <col min="1835" max="1836" width="3.5703125" style="262"/>
    <col min="1837" max="1837" width="6.5703125" style="262" bestFit="1" customWidth="1"/>
    <col min="1838" max="1838" width="3.5703125" style="262"/>
    <col min="1839" max="1839" width="5.5703125" style="262" bestFit="1" customWidth="1"/>
    <col min="1840" max="2051" width="3.5703125" style="262"/>
    <col min="2052" max="2052" width="11.42578125" style="262" customWidth="1"/>
    <col min="2053" max="2053" width="1.85546875" style="262" customWidth="1"/>
    <col min="2054" max="2057" width="5.42578125" style="262" customWidth="1"/>
    <col min="2058" max="2058" width="10.42578125" style="262" customWidth="1"/>
    <col min="2059" max="2059" width="7.85546875" style="262" customWidth="1"/>
    <col min="2060" max="2060" width="8.85546875" style="262" customWidth="1"/>
    <col min="2061" max="2061" width="8.42578125" style="262" customWidth="1"/>
    <col min="2062" max="2062" width="4.42578125" style="262" customWidth="1"/>
    <col min="2063" max="2064" width="4.140625" style="262" customWidth="1"/>
    <col min="2065" max="2065" width="6.85546875" style="262" customWidth="1"/>
    <col min="2066" max="2066" width="4.140625" style="262" customWidth="1"/>
    <col min="2067" max="2072" width="4.42578125" style="262" customWidth="1"/>
    <col min="2073" max="2073" width="7" style="262" customWidth="1"/>
    <col min="2074" max="2074" width="0" style="262" hidden="1" customWidth="1"/>
    <col min="2075" max="2078" width="3.5703125" style="262" customWidth="1"/>
    <col min="2079" max="2080" width="3.5703125" style="262"/>
    <col min="2081" max="2082" width="0" style="262" hidden="1" customWidth="1"/>
    <col min="2083" max="2089" width="3.5703125" style="262"/>
    <col min="2090" max="2090" width="5.5703125" style="262" bestFit="1" customWidth="1"/>
    <col min="2091" max="2092" width="3.5703125" style="262"/>
    <col min="2093" max="2093" width="6.5703125" style="262" bestFit="1" customWidth="1"/>
    <col min="2094" max="2094" width="3.5703125" style="262"/>
    <col min="2095" max="2095" width="5.5703125" style="262" bestFit="1" customWidth="1"/>
    <col min="2096" max="2307" width="3.5703125" style="262"/>
    <col min="2308" max="2308" width="11.42578125" style="262" customWidth="1"/>
    <col min="2309" max="2309" width="1.85546875" style="262" customWidth="1"/>
    <col min="2310" max="2313" width="5.42578125" style="262" customWidth="1"/>
    <col min="2314" max="2314" width="10.42578125" style="262" customWidth="1"/>
    <col min="2315" max="2315" width="7.85546875" style="262" customWidth="1"/>
    <col min="2316" max="2316" width="8.85546875" style="262" customWidth="1"/>
    <col min="2317" max="2317" width="8.42578125" style="262" customWidth="1"/>
    <col min="2318" max="2318" width="4.42578125" style="262" customWidth="1"/>
    <col min="2319" max="2320" width="4.140625" style="262" customWidth="1"/>
    <col min="2321" max="2321" width="6.85546875" style="262" customWidth="1"/>
    <col min="2322" max="2322" width="4.140625" style="262" customWidth="1"/>
    <col min="2323" max="2328" width="4.42578125" style="262" customWidth="1"/>
    <col min="2329" max="2329" width="7" style="262" customWidth="1"/>
    <col min="2330" max="2330" width="0" style="262" hidden="1" customWidth="1"/>
    <col min="2331" max="2334" width="3.5703125" style="262" customWidth="1"/>
    <col min="2335" max="2336" width="3.5703125" style="262"/>
    <col min="2337" max="2338" width="0" style="262" hidden="1" customWidth="1"/>
    <col min="2339" max="2345" width="3.5703125" style="262"/>
    <col min="2346" max="2346" width="5.5703125" style="262" bestFit="1" customWidth="1"/>
    <col min="2347" max="2348" width="3.5703125" style="262"/>
    <col min="2349" max="2349" width="6.5703125" style="262" bestFit="1" customWidth="1"/>
    <col min="2350" max="2350" width="3.5703125" style="262"/>
    <col min="2351" max="2351" width="5.5703125" style="262" bestFit="1" customWidth="1"/>
    <col min="2352" max="2563" width="3.5703125" style="262"/>
    <col min="2564" max="2564" width="11.42578125" style="262" customWidth="1"/>
    <col min="2565" max="2565" width="1.85546875" style="262" customWidth="1"/>
    <col min="2566" max="2569" width="5.42578125" style="262" customWidth="1"/>
    <col min="2570" max="2570" width="10.42578125" style="262" customWidth="1"/>
    <col min="2571" max="2571" width="7.85546875" style="262" customWidth="1"/>
    <col min="2572" max="2572" width="8.85546875" style="262" customWidth="1"/>
    <col min="2573" max="2573" width="8.42578125" style="262" customWidth="1"/>
    <col min="2574" max="2574" width="4.42578125" style="262" customWidth="1"/>
    <col min="2575" max="2576" width="4.140625" style="262" customWidth="1"/>
    <col min="2577" max="2577" width="6.85546875" style="262" customWidth="1"/>
    <col min="2578" max="2578" width="4.140625" style="262" customWidth="1"/>
    <col min="2579" max="2584" width="4.42578125" style="262" customWidth="1"/>
    <col min="2585" max="2585" width="7" style="262" customWidth="1"/>
    <col min="2586" max="2586" width="0" style="262" hidden="1" customWidth="1"/>
    <col min="2587" max="2590" width="3.5703125" style="262" customWidth="1"/>
    <col min="2591" max="2592" width="3.5703125" style="262"/>
    <col min="2593" max="2594" width="0" style="262" hidden="1" customWidth="1"/>
    <col min="2595" max="2601" width="3.5703125" style="262"/>
    <col min="2602" max="2602" width="5.5703125" style="262" bestFit="1" customWidth="1"/>
    <col min="2603" max="2604" width="3.5703125" style="262"/>
    <col min="2605" max="2605" width="6.5703125" style="262" bestFit="1" customWidth="1"/>
    <col min="2606" max="2606" width="3.5703125" style="262"/>
    <col min="2607" max="2607" width="5.5703125" style="262" bestFit="1" customWidth="1"/>
    <col min="2608" max="2819" width="3.5703125" style="262"/>
    <col min="2820" max="2820" width="11.42578125" style="262" customWidth="1"/>
    <col min="2821" max="2821" width="1.85546875" style="262" customWidth="1"/>
    <col min="2822" max="2825" width="5.42578125" style="262" customWidth="1"/>
    <col min="2826" max="2826" width="10.42578125" style="262" customWidth="1"/>
    <col min="2827" max="2827" width="7.85546875" style="262" customWidth="1"/>
    <col min="2828" max="2828" width="8.85546875" style="262" customWidth="1"/>
    <col min="2829" max="2829" width="8.42578125" style="262" customWidth="1"/>
    <col min="2830" max="2830" width="4.42578125" style="262" customWidth="1"/>
    <col min="2831" max="2832" width="4.140625" style="262" customWidth="1"/>
    <col min="2833" max="2833" width="6.85546875" style="262" customWidth="1"/>
    <col min="2834" max="2834" width="4.140625" style="262" customWidth="1"/>
    <col min="2835" max="2840" width="4.42578125" style="262" customWidth="1"/>
    <col min="2841" max="2841" width="7" style="262" customWidth="1"/>
    <col min="2842" max="2842" width="0" style="262" hidden="1" customWidth="1"/>
    <col min="2843" max="2846" width="3.5703125" style="262" customWidth="1"/>
    <col min="2847" max="2848" width="3.5703125" style="262"/>
    <col min="2849" max="2850" width="0" style="262" hidden="1" customWidth="1"/>
    <col min="2851" max="2857" width="3.5703125" style="262"/>
    <col min="2858" max="2858" width="5.5703125" style="262" bestFit="1" customWidth="1"/>
    <col min="2859" max="2860" width="3.5703125" style="262"/>
    <col min="2861" max="2861" width="6.5703125" style="262" bestFit="1" customWidth="1"/>
    <col min="2862" max="2862" width="3.5703125" style="262"/>
    <col min="2863" max="2863" width="5.5703125" style="262" bestFit="1" customWidth="1"/>
    <col min="2864" max="3075" width="3.5703125" style="262"/>
    <col min="3076" max="3076" width="11.42578125" style="262" customWidth="1"/>
    <col min="3077" max="3077" width="1.85546875" style="262" customWidth="1"/>
    <col min="3078" max="3081" width="5.42578125" style="262" customWidth="1"/>
    <col min="3082" max="3082" width="10.42578125" style="262" customWidth="1"/>
    <col min="3083" max="3083" width="7.85546875" style="262" customWidth="1"/>
    <col min="3084" max="3084" width="8.85546875" style="262" customWidth="1"/>
    <col min="3085" max="3085" width="8.42578125" style="262" customWidth="1"/>
    <col min="3086" max="3086" width="4.42578125" style="262" customWidth="1"/>
    <col min="3087" max="3088" width="4.140625" style="262" customWidth="1"/>
    <col min="3089" max="3089" width="6.85546875" style="262" customWidth="1"/>
    <col min="3090" max="3090" width="4.140625" style="262" customWidth="1"/>
    <col min="3091" max="3096" width="4.42578125" style="262" customWidth="1"/>
    <col min="3097" max="3097" width="7" style="262" customWidth="1"/>
    <col min="3098" max="3098" width="0" style="262" hidden="1" customWidth="1"/>
    <col min="3099" max="3102" width="3.5703125" style="262" customWidth="1"/>
    <col min="3103" max="3104" width="3.5703125" style="262"/>
    <col min="3105" max="3106" width="0" style="262" hidden="1" customWidth="1"/>
    <col min="3107" max="3113" width="3.5703125" style="262"/>
    <col min="3114" max="3114" width="5.5703125" style="262" bestFit="1" customWidth="1"/>
    <col min="3115" max="3116" width="3.5703125" style="262"/>
    <col min="3117" max="3117" width="6.5703125" style="262" bestFit="1" customWidth="1"/>
    <col min="3118" max="3118" width="3.5703125" style="262"/>
    <col min="3119" max="3119" width="5.5703125" style="262" bestFit="1" customWidth="1"/>
    <col min="3120" max="3331" width="3.5703125" style="262"/>
    <col min="3332" max="3332" width="11.42578125" style="262" customWidth="1"/>
    <col min="3333" max="3333" width="1.85546875" style="262" customWidth="1"/>
    <col min="3334" max="3337" width="5.42578125" style="262" customWidth="1"/>
    <col min="3338" max="3338" width="10.42578125" style="262" customWidth="1"/>
    <col min="3339" max="3339" width="7.85546875" style="262" customWidth="1"/>
    <col min="3340" max="3340" width="8.85546875" style="262" customWidth="1"/>
    <col min="3341" max="3341" width="8.42578125" style="262" customWidth="1"/>
    <col min="3342" max="3342" width="4.42578125" style="262" customWidth="1"/>
    <col min="3343" max="3344" width="4.140625" style="262" customWidth="1"/>
    <col min="3345" max="3345" width="6.85546875" style="262" customWidth="1"/>
    <col min="3346" max="3346" width="4.140625" style="262" customWidth="1"/>
    <col min="3347" max="3352" width="4.42578125" style="262" customWidth="1"/>
    <col min="3353" max="3353" width="7" style="262" customWidth="1"/>
    <col min="3354" max="3354" width="0" style="262" hidden="1" customWidth="1"/>
    <col min="3355" max="3358" width="3.5703125" style="262" customWidth="1"/>
    <col min="3359" max="3360" width="3.5703125" style="262"/>
    <col min="3361" max="3362" width="0" style="262" hidden="1" customWidth="1"/>
    <col min="3363" max="3369" width="3.5703125" style="262"/>
    <col min="3370" max="3370" width="5.5703125" style="262" bestFit="1" customWidth="1"/>
    <col min="3371" max="3372" width="3.5703125" style="262"/>
    <col min="3373" max="3373" width="6.5703125" style="262" bestFit="1" customWidth="1"/>
    <col min="3374" max="3374" width="3.5703125" style="262"/>
    <col min="3375" max="3375" width="5.5703125" style="262" bestFit="1" customWidth="1"/>
    <col min="3376" max="3587" width="3.5703125" style="262"/>
    <col min="3588" max="3588" width="11.42578125" style="262" customWidth="1"/>
    <col min="3589" max="3589" width="1.85546875" style="262" customWidth="1"/>
    <col min="3590" max="3593" width="5.42578125" style="262" customWidth="1"/>
    <col min="3594" max="3594" width="10.42578125" style="262" customWidth="1"/>
    <col min="3595" max="3595" width="7.85546875" style="262" customWidth="1"/>
    <col min="3596" max="3596" width="8.85546875" style="262" customWidth="1"/>
    <col min="3597" max="3597" width="8.42578125" style="262" customWidth="1"/>
    <col min="3598" max="3598" width="4.42578125" style="262" customWidth="1"/>
    <col min="3599" max="3600" width="4.140625" style="262" customWidth="1"/>
    <col min="3601" max="3601" width="6.85546875" style="262" customWidth="1"/>
    <col min="3602" max="3602" width="4.140625" style="262" customWidth="1"/>
    <col min="3603" max="3608" width="4.42578125" style="262" customWidth="1"/>
    <col min="3609" max="3609" width="7" style="262" customWidth="1"/>
    <col min="3610" max="3610" width="0" style="262" hidden="1" customWidth="1"/>
    <col min="3611" max="3614" width="3.5703125" style="262" customWidth="1"/>
    <col min="3615" max="3616" width="3.5703125" style="262"/>
    <col min="3617" max="3618" width="0" style="262" hidden="1" customWidth="1"/>
    <col min="3619" max="3625" width="3.5703125" style="262"/>
    <col min="3626" max="3626" width="5.5703125" style="262" bestFit="1" customWidth="1"/>
    <col min="3627" max="3628" width="3.5703125" style="262"/>
    <col min="3629" max="3629" width="6.5703125" style="262" bestFit="1" customWidth="1"/>
    <col min="3630" max="3630" width="3.5703125" style="262"/>
    <col min="3631" max="3631" width="5.5703125" style="262" bestFit="1" customWidth="1"/>
    <col min="3632" max="3843" width="3.5703125" style="262"/>
    <col min="3844" max="3844" width="11.42578125" style="262" customWidth="1"/>
    <col min="3845" max="3845" width="1.85546875" style="262" customWidth="1"/>
    <col min="3846" max="3849" width="5.42578125" style="262" customWidth="1"/>
    <col min="3850" max="3850" width="10.42578125" style="262" customWidth="1"/>
    <col min="3851" max="3851" width="7.85546875" style="262" customWidth="1"/>
    <col min="3852" max="3852" width="8.85546875" style="262" customWidth="1"/>
    <col min="3853" max="3853" width="8.42578125" style="262" customWidth="1"/>
    <col min="3854" max="3854" width="4.42578125" style="262" customWidth="1"/>
    <col min="3855" max="3856" width="4.140625" style="262" customWidth="1"/>
    <col min="3857" max="3857" width="6.85546875" style="262" customWidth="1"/>
    <col min="3858" max="3858" width="4.140625" style="262" customWidth="1"/>
    <col min="3859" max="3864" width="4.42578125" style="262" customWidth="1"/>
    <col min="3865" max="3865" width="7" style="262" customWidth="1"/>
    <col min="3866" max="3866" width="0" style="262" hidden="1" customWidth="1"/>
    <col min="3867" max="3870" width="3.5703125" style="262" customWidth="1"/>
    <col min="3871" max="3872" width="3.5703125" style="262"/>
    <col min="3873" max="3874" width="0" style="262" hidden="1" customWidth="1"/>
    <col min="3875" max="3881" width="3.5703125" style="262"/>
    <col min="3882" max="3882" width="5.5703125" style="262" bestFit="1" customWidth="1"/>
    <col min="3883" max="3884" width="3.5703125" style="262"/>
    <col min="3885" max="3885" width="6.5703125" style="262" bestFit="1" customWidth="1"/>
    <col min="3886" max="3886" width="3.5703125" style="262"/>
    <col min="3887" max="3887" width="5.5703125" style="262" bestFit="1" customWidth="1"/>
    <col min="3888" max="4099" width="3.5703125" style="262"/>
    <col min="4100" max="4100" width="11.42578125" style="262" customWidth="1"/>
    <col min="4101" max="4101" width="1.85546875" style="262" customWidth="1"/>
    <col min="4102" max="4105" width="5.42578125" style="262" customWidth="1"/>
    <col min="4106" max="4106" width="10.42578125" style="262" customWidth="1"/>
    <col min="4107" max="4107" width="7.85546875" style="262" customWidth="1"/>
    <col min="4108" max="4108" width="8.85546875" style="262" customWidth="1"/>
    <col min="4109" max="4109" width="8.42578125" style="262" customWidth="1"/>
    <col min="4110" max="4110" width="4.42578125" style="262" customWidth="1"/>
    <col min="4111" max="4112" width="4.140625" style="262" customWidth="1"/>
    <col min="4113" max="4113" width="6.85546875" style="262" customWidth="1"/>
    <col min="4114" max="4114" width="4.140625" style="262" customWidth="1"/>
    <col min="4115" max="4120" width="4.42578125" style="262" customWidth="1"/>
    <col min="4121" max="4121" width="7" style="262" customWidth="1"/>
    <col min="4122" max="4122" width="0" style="262" hidden="1" customWidth="1"/>
    <col min="4123" max="4126" width="3.5703125" style="262" customWidth="1"/>
    <col min="4127" max="4128" width="3.5703125" style="262"/>
    <col min="4129" max="4130" width="0" style="262" hidden="1" customWidth="1"/>
    <col min="4131" max="4137" width="3.5703125" style="262"/>
    <col min="4138" max="4138" width="5.5703125" style="262" bestFit="1" customWidth="1"/>
    <col min="4139" max="4140" width="3.5703125" style="262"/>
    <col min="4141" max="4141" width="6.5703125" style="262" bestFit="1" customWidth="1"/>
    <col min="4142" max="4142" width="3.5703125" style="262"/>
    <col min="4143" max="4143" width="5.5703125" style="262" bestFit="1" customWidth="1"/>
    <col min="4144" max="4355" width="3.5703125" style="262"/>
    <col min="4356" max="4356" width="11.42578125" style="262" customWidth="1"/>
    <col min="4357" max="4357" width="1.85546875" style="262" customWidth="1"/>
    <col min="4358" max="4361" width="5.42578125" style="262" customWidth="1"/>
    <col min="4362" max="4362" width="10.42578125" style="262" customWidth="1"/>
    <col min="4363" max="4363" width="7.85546875" style="262" customWidth="1"/>
    <col min="4364" max="4364" width="8.85546875" style="262" customWidth="1"/>
    <col min="4365" max="4365" width="8.42578125" style="262" customWidth="1"/>
    <col min="4366" max="4366" width="4.42578125" style="262" customWidth="1"/>
    <col min="4367" max="4368" width="4.140625" style="262" customWidth="1"/>
    <col min="4369" max="4369" width="6.85546875" style="262" customWidth="1"/>
    <col min="4370" max="4370" width="4.140625" style="262" customWidth="1"/>
    <col min="4371" max="4376" width="4.42578125" style="262" customWidth="1"/>
    <col min="4377" max="4377" width="7" style="262" customWidth="1"/>
    <col min="4378" max="4378" width="0" style="262" hidden="1" customWidth="1"/>
    <col min="4379" max="4382" width="3.5703125" style="262" customWidth="1"/>
    <col min="4383" max="4384" width="3.5703125" style="262"/>
    <col min="4385" max="4386" width="0" style="262" hidden="1" customWidth="1"/>
    <col min="4387" max="4393" width="3.5703125" style="262"/>
    <col min="4394" max="4394" width="5.5703125" style="262" bestFit="1" customWidth="1"/>
    <col min="4395" max="4396" width="3.5703125" style="262"/>
    <col min="4397" max="4397" width="6.5703125" style="262" bestFit="1" customWidth="1"/>
    <col min="4398" max="4398" width="3.5703125" style="262"/>
    <col min="4399" max="4399" width="5.5703125" style="262" bestFit="1" customWidth="1"/>
    <col min="4400" max="4611" width="3.5703125" style="262"/>
    <col min="4612" max="4612" width="11.42578125" style="262" customWidth="1"/>
    <col min="4613" max="4613" width="1.85546875" style="262" customWidth="1"/>
    <col min="4614" max="4617" width="5.42578125" style="262" customWidth="1"/>
    <col min="4618" max="4618" width="10.42578125" style="262" customWidth="1"/>
    <col min="4619" max="4619" width="7.85546875" style="262" customWidth="1"/>
    <col min="4620" max="4620" width="8.85546875" style="262" customWidth="1"/>
    <col min="4621" max="4621" width="8.42578125" style="262" customWidth="1"/>
    <col min="4622" max="4622" width="4.42578125" style="262" customWidth="1"/>
    <col min="4623" max="4624" width="4.140625" style="262" customWidth="1"/>
    <col min="4625" max="4625" width="6.85546875" style="262" customWidth="1"/>
    <col min="4626" max="4626" width="4.140625" style="262" customWidth="1"/>
    <col min="4627" max="4632" width="4.42578125" style="262" customWidth="1"/>
    <col min="4633" max="4633" width="7" style="262" customWidth="1"/>
    <col min="4634" max="4634" width="0" style="262" hidden="1" customWidth="1"/>
    <col min="4635" max="4638" width="3.5703125" style="262" customWidth="1"/>
    <col min="4639" max="4640" width="3.5703125" style="262"/>
    <col min="4641" max="4642" width="0" style="262" hidden="1" customWidth="1"/>
    <col min="4643" max="4649" width="3.5703125" style="262"/>
    <col min="4650" max="4650" width="5.5703125" style="262" bestFit="1" customWidth="1"/>
    <col min="4651" max="4652" width="3.5703125" style="262"/>
    <col min="4653" max="4653" width="6.5703125" style="262" bestFit="1" customWidth="1"/>
    <col min="4654" max="4654" width="3.5703125" style="262"/>
    <col min="4655" max="4655" width="5.5703125" style="262" bestFit="1" customWidth="1"/>
    <col min="4656" max="4867" width="3.5703125" style="262"/>
    <col min="4868" max="4868" width="11.42578125" style="262" customWidth="1"/>
    <col min="4869" max="4869" width="1.85546875" style="262" customWidth="1"/>
    <col min="4870" max="4873" width="5.42578125" style="262" customWidth="1"/>
    <col min="4874" max="4874" width="10.42578125" style="262" customWidth="1"/>
    <col min="4875" max="4875" width="7.85546875" style="262" customWidth="1"/>
    <col min="4876" max="4876" width="8.85546875" style="262" customWidth="1"/>
    <col min="4877" max="4877" width="8.42578125" style="262" customWidth="1"/>
    <col min="4878" max="4878" width="4.42578125" style="262" customWidth="1"/>
    <col min="4879" max="4880" width="4.140625" style="262" customWidth="1"/>
    <col min="4881" max="4881" width="6.85546875" style="262" customWidth="1"/>
    <col min="4882" max="4882" width="4.140625" style="262" customWidth="1"/>
    <col min="4883" max="4888" width="4.42578125" style="262" customWidth="1"/>
    <col min="4889" max="4889" width="7" style="262" customWidth="1"/>
    <col min="4890" max="4890" width="0" style="262" hidden="1" customWidth="1"/>
    <col min="4891" max="4894" width="3.5703125" style="262" customWidth="1"/>
    <col min="4895" max="4896" width="3.5703125" style="262"/>
    <col min="4897" max="4898" width="0" style="262" hidden="1" customWidth="1"/>
    <col min="4899" max="4905" width="3.5703125" style="262"/>
    <col min="4906" max="4906" width="5.5703125" style="262" bestFit="1" customWidth="1"/>
    <col min="4907" max="4908" width="3.5703125" style="262"/>
    <col min="4909" max="4909" width="6.5703125" style="262" bestFit="1" customWidth="1"/>
    <col min="4910" max="4910" width="3.5703125" style="262"/>
    <col min="4911" max="4911" width="5.5703125" style="262" bestFit="1" customWidth="1"/>
    <col min="4912" max="5123" width="3.5703125" style="262"/>
    <col min="5124" max="5124" width="11.42578125" style="262" customWidth="1"/>
    <col min="5125" max="5125" width="1.85546875" style="262" customWidth="1"/>
    <col min="5126" max="5129" width="5.42578125" style="262" customWidth="1"/>
    <col min="5130" max="5130" width="10.42578125" style="262" customWidth="1"/>
    <col min="5131" max="5131" width="7.85546875" style="262" customWidth="1"/>
    <col min="5132" max="5132" width="8.85546875" style="262" customWidth="1"/>
    <col min="5133" max="5133" width="8.42578125" style="262" customWidth="1"/>
    <col min="5134" max="5134" width="4.42578125" style="262" customWidth="1"/>
    <col min="5135" max="5136" width="4.140625" style="262" customWidth="1"/>
    <col min="5137" max="5137" width="6.85546875" style="262" customWidth="1"/>
    <col min="5138" max="5138" width="4.140625" style="262" customWidth="1"/>
    <col min="5139" max="5144" width="4.42578125" style="262" customWidth="1"/>
    <col min="5145" max="5145" width="7" style="262" customWidth="1"/>
    <col min="5146" max="5146" width="0" style="262" hidden="1" customWidth="1"/>
    <col min="5147" max="5150" width="3.5703125" style="262" customWidth="1"/>
    <col min="5151" max="5152" width="3.5703125" style="262"/>
    <col min="5153" max="5154" width="0" style="262" hidden="1" customWidth="1"/>
    <col min="5155" max="5161" width="3.5703125" style="262"/>
    <col min="5162" max="5162" width="5.5703125" style="262" bestFit="1" customWidth="1"/>
    <col min="5163" max="5164" width="3.5703125" style="262"/>
    <col min="5165" max="5165" width="6.5703125" style="262" bestFit="1" customWidth="1"/>
    <col min="5166" max="5166" width="3.5703125" style="262"/>
    <col min="5167" max="5167" width="5.5703125" style="262" bestFit="1" customWidth="1"/>
    <col min="5168" max="5379" width="3.5703125" style="262"/>
    <col min="5380" max="5380" width="11.42578125" style="262" customWidth="1"/>
    <col min="5381" max="5381" width="1.85546875" style="262" customWidth="1"/>
    <col min="5382" max="5385" width="5.42578125" style="262" customWidth="1"/>
    <col min="5386" max="5386" width="10.42578125" style="262" customWidth="1"/>
    <col min="5387" max="5387" width="7.85546875" style="262" customWidth="1"/>
    <col min="5388" max="5388" width="8.85546875" style="262" customWidth="1"/>
    <col min="5389" max="5389" width="8.42578125" style="262" customWidth="1"/>
    <col min="5390" max="5390" width="4.42578125" style="262" customWidth="1"/>
    <col min="5391" max="5392" width="4.140625" style="262" customWidth="1"/>
    <col min="5393" max="5393" width="6.85546875" style="262" customWidth="1"/>
    <col min="5394" max="5394" width="4.140625" style="262" customWidth="1"/>
    <col min="5395" max="5400" width="4.42578125" style="262" customWidth="1"/>
    <col min="5401" max="5401" width="7" style="262" customWidth="1"/>
    <col min="5402" max="5402" width="0" style="262" hidden="1" customWidth="1"/>
    <col min="5403" max="5406" width="3.5703125" style="262" customWidth="1"/>
    <col min="5407" max="5408" width="3.5703125" style="262"/>
    <col min="5409" max="5410" width="0" style="262" hidden="1" customWidth="1"/>
    <col min="5411" max="5417" width="3.5703125" style="262"/>
    <col min="5418" max="5418" width="5.5703125" style="262" bestFit="1" customWidth="1"/>
    <col min="5419" max="5420" width="3.5703125" style="262"/>
    <col min="5421" max="5421" width="6.5703125" style="262" bestFit="1" customWidth="1"/>
    <col min="5422" max="5422" width="3.5703125" style="262"/>
    <col min="5423" max="5423" width="5.5703125" style="262" bestFit="1" customWidth="1"/>
    <col min="5424" max="5635" width="3.5703125" style="262"/>
    <col min="5636" max="5636" width="11.42578125" style="262" customWidth="1"/>
    <col min="5637" max="5637" width="1.85546875" style="262" customWidth="1"/>
    <col min="5638" max="5641" width="5.42578125" style="262" customWidth="1"/>
    <col min="5642" max="5642" width="10.42578125" style="262" customWidth="1"/>
    <col min="5643" max="5643" width="7.85546875" style="262" customWidth="1"/>
    <col min="5644" max="5644" width="8.85546875" style="262" customWidth="1"/>
    <col min="5645" max="5645" width="8.42578125" style="262" customWidth="1"/>
    <col min="5646" max="5646" width="4.42578125" style="262" customWidth="1"/>
    <col min="5647" max="5648" width="4.140625" style="262" customWidth="1"/>
    <col min="5649" max="5649" width="6.85546875" style="262" customWidth="1"/>
    <col min="5650" max="5650" width="4.140625" style="262" customWidth="1"/>
    <col min="5651" max="5656" width="4.42578125" style="262" customWidth="1"/>
    <col min="5657" max="5657" width="7" style="262" customWidth="1"/>
    <col min="5658" max="5658" width="0" style="262" hidden="1" customWidth="1"/>
    <col min="5659" max="5662" width="3.5703125" style="262" customWidth="1"/>
    <col min="5663" max="5664" width="3.5703125" style="262"/>
    <col min="5665" max="5666" width="0" style="262" hidden="1" customWidth="1"/>
    <col min="5667" max="5673" width="3.5703125" style="262"/>
    <col min="5674" max="5674" width="5.5703125" style="262" bestFit="1" customWidth="1"/>
    <col min="5675" max="5676" width="3.5703125" style="262"/>
    <col min="5677" max="5677" width="6.5703125" style="262" bestFit="1" customWidth="1"/>
    <col min="5678" max="5678" width="3.5703125" style="262"/>
    <col min="5679" max="5679" width="5.5703125" style="262" bestFit="1" customWidth="1"/>
    <col min="5680" max="5891" width="3.5703125" style="262"/>
    <col min="5892" max="5892" width="11.42578125" style="262" customWidth="1"/>
    <col min="5893" max="5893" width="1.85546875" style="262" customWidth="1"/>
    <col min="5894" max="5897" width="5.42578125" style="262" customWidth="1"/>
    <col min="5898" max="5898" width="10.42578125" style="262" customWidth="1"/>
    <col min="5899" max="5899" width="7.85546875" style="262" customWidth="1"/>
    <col min="5900" max="5900" width="8.85546875" style="262" customWidth="1"/>
    <col min="5901" max="5901" width="8.42578125" style="262" customWidth="1"/>
    <col min="5902" max="5902" width="4.42578125" style="262" customWidth="1"/>
    <col min="5903" max="5904" width="4.140625" style="262" customWidth="1"/>
    <col min="5905" max="5905" width="6.85546875" style="262" customWidth="1"/>
    <col min="5906" max="5906" width="4.140625" style="262" customWidth="1"/>
    <col min="5907" max="5912" width="4.42578125" style="262" customWidth="1"/>
    <col min="5913" max="5913" width="7" style="262" customWidth="1"/>
    <col min="5914" max="5914" width="0" style="262" hidden="1" customWidth="1"/>
    <col min="5915" max="5918" width="3.5703125" style="262" customWidth="1"/>
    <col min="5919" max="5920" width="3.5703125" style="262"/>
    <col min="5921" max="5922" width="0" style="262" hidden="1" customWidth="1"/>
    <col min="5923" max="5929" width="3.5703125" style="262"/>
    <col min="5930" max="5930" width="5.5703125" style="262" bestFit="1" customWidth="1"/>
    <col min="5931" max="5932" width="3.5703125" style="262"/>
    <col min="5933" max="5933" width="6.5703125" style="262" bestFit="1" customWidth="1"/>
    <col min="5934" max="5934" width="3.5703125" style="262"/>
    <col min="5935" max="5935" width="5.5703125" style="262" bestFit="1" customWidth="1"/>
    <col min="5936" max="6147" width="3.5703125" style="262"/>
    <col min="6148" max="6148" width="11.42578125" style="262" customWidth="1"/>
    <col min="6149" max="6149" width="1.85546875" style="262" customWidth="1"/>
    <col min="6150" max="6153" width="5.42578125" style="262" customWidth="1"/>
    <col min="6154" max="6154" width="10.42578125" style="262" customWidth="1"/>
    <col min="6155" max="6155" width="7.85546875" style="262" customWidth="1"/>
    <col min="6156" max="6156" width="8.85546875" style="262" customWidth="1"/>
    <col min="6157" max="6157" width="8.42578125" style="262" customWidth="1"/>
    <col min="6158" max="6158" width="4.42578125" style="262" customWidth="1"/>
    <col min="6159" max="6160" width="4.140625" style="262" customWidth="1"/>
    <col min="6161" max="6161" width="6.85546875" style="262" customWidth="1"/>
    <col min="6162" max="6162" width="4.140625" style="262" customWidth="1"/>
    <col min="6163" max="6168" width="4.42578125" style="262" customWidth="1"/>
    <col min="6169" max="6169" width="7" style="262" customWidth="1"/>
    <col min="6170" max="6170" width="0" style="262" hidden="1" customWidth="1"/>
    <col min="6171" max="6174" width="3.5703125" style="262" customWidth="1"/>
    <col min="6175" max="6176" width="3.5703125" style="262"/>
    <col min="6177" max="6178" width="0" style="262" hidden="1" customWidth="1"/>
    <col min="6179" max="6185" width="3.5703125" style="262"/>
    <col min="6186" max="6186" width="5.5703125" style="262" bestFit="1" customWidth="1"/>
    <col min="6187" max="6188" width="3.5703125" style="262"/>
    <col min="6189" max="6189" width="6.5703125" style="262" bestFit="1" customWidth="1"/>
    <col min="6190" max="6190" width="3.5703125" style="262"/>
    <col min="6191" max="6191" width="5.5703125" style="262" bestFit="1" customWidth="1"/>
    <col min="6192" max="6403" width="3.5703125" style="262"/>
    <col min="6404" max="6404" width="11.42578125" style="262" customWidth="1"/>
    <col min="6405" max="6405" width="1.85546875" style="262" customWidth="1"/>
    <col min="6406" max="6409" width="5.42578125" style="262" customWidth="1"/>
    <col min="6410" max="6410" width="10.42578125" style="262" customWidth="1"/>
    <col min="6411" max="6411" width="7.85546875" style="262" customWidth="1"/>
    <col min="6412" max="6412" width="8.85546875" style="262" customWidth="1"/>
    <col min="6413" max="6413" width="8.42578125" style="262" customWidth="1"/>
    <col min="6414" max="6414" width="4.42578125" style="262" customWidth="1"/>
    <col min="6415" max="6416" width="4.140625" style="262" customWidth="1"/>
    <col min="6417" max="6417" width="6.85546875" style="262" customWidth="1"/>
    <col min="6418" max="6418" width="4.140625" style="262" customWidth="1"/>
    <col min="6419" max="6424" width="4.42578125" style="262" customWidth="1"/>
    <col min="6425" max="6425" width="7" style="262" customWidth="1"/>
    <col min="6426" max="6426" width="0" style="262" hidden="1" customWidth="1"/>
    <col min="6427" max="6430" width="3.5703125" style="262" customWidth="1"/>
    <col min="6431" max="6432" width="3.5703125" style="262"/>
    <col min="6433" max="6434" width="0" style="262" hidden="1" customWidth="1"/>
    <col min="6435" max="6441" width="3.5703125" style="262"/>
    <col min="6442" max="6442" width="5.5703125" style="262" bestFit="1" customWidth="1"/>
    <col min="6443" max="6444" width="3.5703125" style="262"/>
    <col min="6445" max="6445" width="6.5703125" style="262" bestFit="1" customWidth="1"/>
    <col min="6446" max="6446" width="3.5703125" style="262"/>
    <col min="6447" max="6447" width="5.5703125" style="262" bestFit="1" customWidth="1"/>
    <col min="6448" max="6659" width="3.5703125" style="262"/>
    <col min="6660" max="6660" width="11.42578125" style="262" customWidth="1"/>
    <col min="6661" max="6661" width="1.85546875" style="262" customWidth="1"/>
    <col min="6662" max="6665" width="5.42578125" style="262" customWidth="1"/>
    <col min="6666" max="6666" width="10.42578125" style="262" customWidth="1"/>
    <col min="6667" max="6667" width="7.85546875" style="262" customWidth="1"/>
    <col min="6668" max="6668" width="8.85546875" style="262" customWidth="1"/>
    <col min="6669" max="6669" width="8.42578125" style="262" customWidth="1"/>
    <col min="6670" max="6670" width="4.42578125" style="262" customWidth="1"/>
    <col min="6671" max="6672" width="4.140625" style="262" customWidth="1"/>
    <col min="6673" max="6673" width="6.85546875" style="262" customWidth="1"/>
    <col min="6674" max="6674" width="4.140625" style="262" customWidth="1"/>
    <col min="6675" max="6680" width="4.42578125" style="262" customWidth="1"/>
    <col min="6681" max="6681" width="7" style="262" customWidth="1"/>
    <col min="6682" max="6682" width="0" style="262" hidden="1" customWidth="1"/>
    <col min="6683" max="6686" width="3.5703125" style="262" customWidth="1"/>
    <col min="6687" max="6688" width="3.5703125" style="262"/>
    <col min="6689" max="6690" width="0" style="262" hidden="1" customWidth="1"/>
    <col min="6691" max="6697" width="3.5703125" style="262"/>
    <col min="6698" max="6698" width="5.5703125" style="262" bestFit="1" customWidth="1"/>
    <col min="6699" max="6700" width="3.5703125" style="262"/>
    <col min="6701" max="6701" width="6.5703125" style="262" bestFit="1" customWidth="1"/>
    <col min="6702" max="6702" width="3.5703125" style="262"/>
    <col min="6703" max="6703" width="5.5703125" style="262" bestFit="1" customWidth="1"/>
    <col min="6704" max="6915" width="3.5703125" style="262"/>
    <col min="6916" max="6916" width="11.42578125" style="262" customWidth="1"/>
    <col min="6917" max="6917" width="1.85546875" style="262" customWidth="1"/>
    <col min="6918" max="6921" width="5.42578125" style="262" customWidth="1"/>
    <col min="6922" max="6922" width="10.42578125" style="262" customWidth="1"/>
    <col min="6923" max="6923" width="7.85546875" style="262" customWidth="1"/>
    <col min="6924" max="6924" width="8.85546875" style="262" customWidth="1"/>
    <col min="6925" max="6925" width="8.42578125" style="262" customWidth="1"/>
    <col min="6926" max="6926" width="4.42578125" style="262" customWidth="1"/>
    <col min="6927" max="6928" width="4.140625" style="262" customWidth="1"/>
    <col min="6929" max="6929" width="6.85546875" style="262" customWidth="1"/>
    <col min="6930" max="6930" width="4.140625" style="262" customWidth="1"/>
    <col min="6931" max="6936" width="4.42578125" style="262" customWidth="1"/>
    <col min="6937" max="6937" width="7" style="262" customWidth="1"/>
    <col min="6938" max="6938" width="0" style="262" hidden="1" customWidth="1"/>
    <col min="6939" max="6942" width="3.5703125" style="262" customWidth="1"/>
    <col min="6943" max="6944" width="3.5703125" style="262"/>
    <col min="6945" max="6946" width="0" style="262" hidden="1" customWidth="1"/>
    <col min="6947" max="6953" width="3.5703125" style="262"/>
    <col min="6954" max="6954" width="5.5703125" style="262" bestFit="1" customWidth="1"/>
    <col min="6955" max="6956" width="3.5703125" style="262"/>
    <col min="6957" max="6957" width="6.5703125" style="262" bestFit="1" customWidth="1"/>
    <col min="6958" max="6958" width="3.5703125" style="262"/>
    <col min="6959" max="6959" width="5.5703125" style="262" bestFit="1" customWidth="1"/>
    <col min="6960" max="7171" width="3.5703125" style="262"/>
    <col min="7172" max="7172" width="11.42578125" style="262" customWidth="1"/>
    <col min="7173" max="7173" width="1.85546875" style="262" customWidth="1"/>
    <col min="7174" max="7177" width="5.42578125" style="262" customWidth="1"/>
    <col min="7178" max="7178" width="10.42578125" style="262" customWidth="1"/>
    <col min="7179" max="7179" width="7.85546875" style="262" customWidth="1"/>
    <col min="7180" max="7180" width="8.85546875" style="262" customWidth="1"/>
    <col min="7181" max="7181" width="8.42578125" style="262" customWidth="1"/>
    <col min="7182" max="7182" width="4.42578125" style="262" customWidth="1"/>
    <col min="7183" max="7184" width="4.140625" style="262" customWidth="1"/>
    <col min="7185" max="7185" width="6.85546875" style="262" customWidth="1"/>
    <col min="7186" max="7186" width="4.140625" style="262" customWidth="1"/>
    <col min="7187" max="7192" width="4.42578125" style="262" customWidth="1"/>
    <col min="7193" max="7193" width="7" style="262" customWidth="1"/>
    <col min="7194" max="7194" width="0" style="262" hidden="1" customWidth="1"/>
    <col min="7195" max="7198" width="3.5703125" style="262" customWidth="1"/>
    <col min="7199" max="7200" width="3.5703125" style="262"/>
    <col min="7201" max="7202" width="0" style="262" hidden="1" customWidth="1"/>
    <col min="7203" max="7209" width="3.5703125" style="262"/>
    <col min="7210" max="7210" width="5.5703125" style="262" bestFit="1" customWidth="1"/>
    <col min="7211" max="7212" width="3.5703125" style="262"/>
    <col min="7213" max="7213" width="6.5703125" style="262" bestFit="1" customWidth="1"/>
    <col min="7214" max="7214" width="3.5703125" style="262"/>
    <col min="7215" max="7215" width="5.5703125" style="262" bestFit="1" customWidth="1"/>
    <col min="7216" max="7427" width="3.5703125" style="262"/>
    <col min="7428" max="7428" width="11.42578125" style="262" customWidth="1"/>
    <col min="7429" max="7429" width="1.85546875" style="262" customWidth="1"/>
    <col min="7430" max="7433" width="5.42578125" style="262" customWidth="1"/>
    <col min="7434" max="7434" width="10.42578125" style="262" customWidth="1"/>
    <col min="7435" max="7435" width="7.85546875" style="262" customWidth="1"/>
    <col min="7436" max="7436" width="8.85546875" style="262" customWidth="1"/>
    <col min="7437" max="7437" width="8.42578125" style="262" customWidth="1"/>
    <col min="7438" max="7438" width="4.42578125" style="262" customWidth="1"/>
    <col min="7439" max="7440" width="4.140625" style="262" customWidth="1"/>
    <col min="7441" max="7441" width="6.85546875" style="262" customWidth="1"/>
    <col min="7442" max="7442" width="4.140625" style="262" customWidth="1"/>
    <col min="7443" max="7448" width="4.42578125" style="262" customWidth="1"/>
    <col min="7449" max="7449" width="7" style="262" customWidth="1"/>
    <col min="7450" max="7450" width="0" style="262" hidden="1" customWidth="1"/>
    <col min="7451" max="7454" width="3.5703125" style="262" customWidth="1"/>
    <col min="7455" max="7456" width="3.5703125" style="262"/>
    <col min="7457" max="7458" width="0" style="262" hidden="1" customWidth="1"/>
    <col min="7459" max="7465" width="3.5703125" style="262"/>
    <col min="7466" max="7466" width="5.5703125" style="262" bestFit="1" customWidth="1"/>
    <col min="7467" max="7468" width="3.5703125" style="262"/>
    <col min="7469" max="7469" width="6.5703125" style="262" bestFit="1" customWidth="1"/>
    <col min="7470" max="7470" width="3.5703125" style="262"/>
    <col min="7471" max="7471" width="5.5703125" style="262" bestFit="1" customWidth="1"/>
    <col min="7472" max="7683" width="3.5703125" style="262"/>
    <col min="7684" max="7684" width="11.42578125" style="262" customWidth="1"/>
    <col min="7685" max="7685" width="1.85546875" style="262" customWidth="1"/>
    <col min="7686" max="7689" width="5.42578125" style="262" customWidth="1"/>
    <col min="7690" max="7690" width="10.42578125" style="262" customWidth="1"/>
    <col min="7691" max="7691" width="7.85546875" style="262" customWidth="1"/>
    <col min="7692" max="7692" width="8.85546875" style="262" customWidth="1"/>
    <col min="7693" max="7693" width="8.42578125" style="262" customWidth="1"/>
    <col min="7694" max="7694" width="4.42578125" style="262" customWidth="1"/>
    <col min="7695" max="7696" width="4.140625" style="262" customWidth="1"/>
    <col min="7697" max="7697" width="6.85546875" style="262" customWidth="1"/>
    <col min="7698" max="7698" width="4.140625" style="262" customWidth="1"/>
    <col min="7699" max="7704" width="4.42578125" style="262" customWidth="1"/>
    <col min="7705" max="7705" width="7" style="262" customWidth="1"/>
    <col min="7706" max="7706" width="0" style="262" hidden="1" customWidth="1"/>
    <col min="7707" max="7710" width="3.5703125" style="262" customWidth="1"/>
    <col min="7711" max="7712" width="3.5703125" style="262"/>
    <col min="7713" max="7714" width="0" style="262" hidden="1" customWidth="1"/>
    <col min="7715" max="7721" width="3.5703125" style="262"/>
    <col min="7722" max="7722" width="5.5703125" style="262" bestFit="1" customWidth="1"/>
    <col min="7723" max="7724" width="3.5703125" style="262"/>
    <col min="7725" max="7725" width="6.5703125" style="262" bestFit="1" customWidth="1"/>
    <col min="7726" max="7726" width="3.5703125" style="262"/>
    <col min="7727" max="7727" width="5.5703125" style="262" bestFit="1" customWidth="1"/>
    <col min="7728" max="7939" width="3.5703125" style="262"/>
    <col min="7940" max="7940" width="11.42578125" style="262" customWidth="1"/>
    <col min="7941" max="7941" width="1.85546875" style="262" customWidth="1"/>
    <col min="7942" max="7945" width="5.42578125" style="262" customWidth="1"/>
    <col min="7946" max="7946" width="10.42578125" style="262" customWidth="1"/>
    <col min="7947" max="7947" width="7.85546875" style="262" customWidth="1"/>
    <col min="7948" max="7948" width="8.85546875" style="262" customWidth="1"/>
    <col min="7949" max="7949" width="8.42578125" style="262" customWidth="1"/>
    <col min="7950" max="7950" width="4.42578125" style="262" customWidth="1"/>
    <col min="7951" max="7952" width="4.140625" style="262" customWidth="1"/>
    <col min="7953" max="7953" width="6.85546875" style="262" customWidth="1"/>
    <col min="7954" max="7954" width="4.140625" style="262" customWidth="1"/>
    <col min="7955" max="7960" width="4.42578125" style="262" customWidth="1"/>
    <col min="7961" max="7961" width="7" style="262" customWidth="1"/>
    <col min="7962" max="7962" width="0" style="262" hidden="1" customWidth="1"/>
    <col min="7963" max="7966" width="3.5703125" style="262" customWidth="1"/>
    <col min="7967" max="7968" width="3.5703125" style="262"/>
    <col min="7969" max="7970" width="0" style="262" hidden="1" customWidth="1"/>
    <col min="7971" max="7977" width="3.5703125" style="262"/>
    <col min="7978" max="7978" width="5.5703125" style="262" bestFit="1" customWidth="1"/>
    <col min="7979" max="7980" width="3.5703125" style="262"/>
    <col min="7981" max="7981" width="6.5703125" style="262" bestFit="1" customWidth="1"/>
    <col min="7982" max="7982" width="3.5703125" style="262"/>
    <col min="7983" max="7983" width="5.5703125" style="262" bestFit="1" customWidth="1"/>
    <col min="7984" max="8195" width="3.5703125" style="262"/>
    <col min="8196" max="8196" width="11.42578125" style="262" customWidth="1"/>
    <col min="8197" max="8197" width="1.85546875" style="262" customWidth="1"/>
    <col min="8198" max="8201" width="5.42578125" style="262" customWidth="1"/>
    <col min="8202" max="8202" width="10.42578125" style="262" customWidth="1"/>
    <col min="8203" max="8203" width="7.85546875" style="262" customWidth="1"/>
    <col min="8204" max="8204" width="8.85546875" style="262" customWidth="1"/>
    <col min="8205" max="8205" width="8.42578125" style="262" customWidth="1"/>
    <col min="8206" max="8206" width="4.42578125" style="262" customWidth="1"/>
    <col min="8207" max="8208" width="4.140625" style="262" customWidth="1"/>
    <col min="8209" max="8209" width="6.85546875" style="262" customWidth="1"/>
    <col min="8210" max="8210" width="4.140625" style="262" customWidth="1"/>
    <col min="8211" max="8216" width="4.42578125" style="262" customWidth="1"/>
    <col min="8217" max="8217" width="7" style="262" customWidth="1"/>
    <col min="8218" max="8218" width="0" style="262" hidden="1" customWidth="1"/>
    <col min="8219" max="8222" width="3.5703125" style="262" customWidth="1"/>
    <col min="8223" max="8224" width="3.5703125" style="262"/>
    <col min="8225" max="8226" width="0" style="262" hidden="1" customWidth="1"/>
    <col min="8227" max="8233" width="3.5703125" style="262"/>
    <col min="8234" max="8234" width="5.5703125" style="262" bestFit="1" customWidth="1"/>
    <col min="8235" max="8236" width="3.5703125" style="262"/>
    <col min="8237" max="8237" width="6.5703125" style="262" bestFit="1" customWidth="1"/>
    <col min="8238" max="8238" width="3.5703125" style="262"/>
    <col min="8239" max="8239" width="5.5703125" style="262" bestFit="1" customWidth="1"/>
    <col min="8240" max="8451" width="3.5703125" style="262"/>
    <col min="8452" max="8452" width="11.42578125" style="262" customWidth="1"/>
    <col min="8453" max="8453" width="1.85546875" style="262" customWidth="1"/>
    <col min="8454" max="8457" width="5.42578125" style="262" customWidth="1"/>
    <col min="8458" max="8458" width="10.42578125" style="262" customWidth="1"/>
    <col min="8459" max="8459" width="7.85546875" style="262" customWidth="1"/>
    <col min="8460" max="8460" width="8.85546875" style="262" customWidth="1"/>
    <col min="8461" max="8461" width="8.42578125" style="262" customWidth="1"/>
    <col min="8462" max="8462" width="4.42578125" style="262" customWidth="1"/>
    <col min="8463" max="8464" width="4.140625" style="262" customWidth="1"/>
    <col min="8465" max="8465" width="6.85546875" style="262" customWidth="1"/>
    <col min="8466" max="8466" width="4.140625" style="262" customWidth="1"/>
    <col min="8467" max="8472" width="4.42578125" style="262" customWidth="1"/>
    <col min="8473" max="8473" width="7" style="262" customWidth="1"/>
    <col min="8474" max="8474" width="0" style="262" hidden="1" customWidth="1"/>
    <col min="8475" max="8478" width="3.5703125" style="262" customWidth="1"/>
    <col min="8479" max="8480" width="3.5703125" style="262"/>
    <col min="8481" max="8482" width="0" style="262" hidden="1" customWidth="1"/>
    <col min="8483" max="8489" width="3.5703125" style="262"/>
    <col min="8490" max="8490" width="5.5703125" style="262" bestFit="1" customWidth="1"/>
    <col min="8491" max="8492" width="3.5703125" style="262"/>
    <col min="8493" max="8493" width="6.5703125" style="262" bestFit="1" customWidth="1"/>
    <col min="8494" max="8494" width="3.5703125" style="262"/>
    <col min="8495" max="8495" width="5.5703125" style="262" bestFit="1" customWidth="1"/>
    <col min="8496" max="8707" width="3.5703125" style="262"/>
    <col min="8708" max="8708" width="11.42578125" style="262" customWidth="1"/>
    <col min="8709" max="8709" width="1.85546875" style="262" customWidth="1"/>
    <col min="8710" max="8713" width="5.42578125" style="262" customWidth="1"/>
    <col min="8714" max="8714" width="10.42578125" style="262" customWidth="1"/>
    <col min="8715" max="8715" width="7.85546875" style="262" customWidth="1"/>
    <col min="8716" max="8716" width="8.85546875" style="262" customWidth="1"/>
    <col min="8717" max="8717" width="8.42578125" style="262" customWidth="1"/>
    <col min="8718" max="8718" width="4.42578125" style="262" customWidth="1"/>
    <col min="8719" max="8720" width="4.140625" style="262" customWidth="1"/>
    <col min="8721" max="8721" width="6.85546875" style="262" customWidth="1"/>
    <col min="8722" max="8722" width="4.140625" style="262" customWidth="1"/>
    <col min="8723" max="8728" width="4.42578125" style="262" customWidth="1"/>
    <col min="8729" max="8729" width="7" style="262" customWidth="1"/>
    <col min="8730" max="8730" width="0" style="262" hidden="1" customWidth="1"/>
    <col min="8731" max="8734" width="3.5703125" style="262" customWidth="1"/>
    <col min="8735" max="8736" width="3.5703125" style="262"/>
    <col min="8737" max="8738" width="0" style="262" hidden="1" customWidth="1"/>
    <col min="8739" max="8745" width="3.5703125" style="262"/>
    <col min="8746" max="8746" width="5.5703125" style="262" bestFit="1" customWidth="1"/>
    <col min="8747" max="8748" width="3.5703125" style="262"/>
    <col min="8749" max="8749" width="6.5703125" style="262" bestFit="1" customWidth="1"/>
    <col min="8750" max="8750" width="3.5703125" style="262"/>
    <col min="8751" max="8751" width="5.5703125" style="262" bestFit="1" customWidth="1"/>
    <col min="8752" max="8963" width="3.5703125" style="262"/>
    <col min="8964" max="8964" width="11.42578125" style="262" customWidth="1"/>
    <col min="8965" max="8965" width="1.85546875" style="262" customWidth="1"/>
    <col min="8966" max="8969" width="5.42578125" style="262" customWidth="1"/>
    <col min="8970" max="8970" width="10.42578125" style="262" customWidth="1"/>
    <col min="8971" max="8971" width="7.85546875" style="262" customWidth="1"/>
    <col min="8972" max="8972" width="8.85546875" style="262" customWidth="1"/>
    <col min="8973" max="8973" width="8.42578125" style="262" customWidth="1"/>
    <col min="8974" max="8974" width="4.42578125" style="262" customWidth="1"/>
    <col min="8975" max="8976" width="4.140625" style="262" customWidth="1"/>
    <col min="8977" max="8977" width="6.85546875" style="262" customWidth="1"/>
    <col min="8978" max="8978" width="4.140625" style="262" customWidth="1"/>
    <col min="8979" max="8984" width="4.42578125" style="262" customWidth="1"/>
    <col min="8985" max="8985" width="7" style="262" customWidth="1"/>
    <col min="8986" max="8986" width="0" style="262" hidden="1" customWidth="1"/>
    <col min="8987" max="8990" width="3.5703125" style="262" customWidth="1"/>
    <col min="8991" max="8992" width="3.5703125" style="262"/>
    <col min="8993" max="8994" width="0" style="262" hidden="1" customWidth="1"/>
    <col min="8995" max="9001" width="3.5703125" style="262"/>
    <col min="9002" max="9002" width="5.5703125" style="262" bestFit="1" customWidth="1"/>
    <col min="9003" max="9004" width="3.5703125" style="262"/>
    <col min="9005" max="9005" width="6.5703125" style="262" bestFit="1" customWidth="1"/>
    <col min="9006" max="9006" width="3.5703125" style="262"/>
    <col min="9007" max="9007" width="5.5703125" style="262" bestFit="1" customWidth="1"/>
    <col min="9008" max="9219" width="3.5703125" style="262"/>
    <col min="9220" max="9220" width="11.42578125" style="262" customWidth="1"/>
    <col min="9221" max="9221" width="1.85546875" style="262" customWidth="1"/>
    <col min="9222" max="9225" width="5.42578125" style="262" customWidth="1"/>
    <col min="9226" max="9226" width="10.42578125" style="262" customWidth="1"/>
    <col min="9227" max="9227" width="7.85546875" style="262" customWidth="1"/>
    <col min="9228" max="9228" width="8.85546875" style="262" customWidth="1"/>
    <col min="9229" max="9229" width="8.42578125" style="262" customWidth="1"/>
    <col min="9230" max="9230" width="4.42578125" style="262" customWidth="1"/>
    <col min="9231" max="9232" width="4.140625" style="262" customWidth="1"/>
    <col min="9233" max="9233" width="6.85546875" style="262" customWidth="1"/>
    <col min="9234" max="9234" width="4.140625" style="262" customWidth="1"/>
    <col min="9235" max="9240" width="4.42578125" style="262" customWidth="1"/>
    <col min="9241" max="9241" width="7" style="262" customWidth="1"/>
    <col min="9242" max="9242" width="0" style="262" hidden="1" customWidth="1"/>
    <col min="9243" max="9246" width="3.5703125" style="262" customWidth="1"/>
    <col min="9247" max="9248" width="3.5703125" style="262"/>
    <col min="9249" max="9250" width="0" style="262" hidden="1" customWidth="1"/>
    <col min="9251" max="9257" width="3.5703125" style="262"/>
    <col min="9258" max="9258" width="5.5703125" style="262" bestFit="1" customWidth="1"/>
    <col min="9259" max="9260" width="3.5703125" style="262"/>
    <col min="9261" max="9261" width="6.5703125" style="262" bestFit="1" customWidth="1"/>
    <col min="9262" max="9262" width="3.5703125" style="262"/>
    <col min="9263" max="9263" width="5.5703125" style="262" bestFit="1" customWidth="1"/>
    <col min="9264" max="9475" width="3.5703125" style="262"/>
    <col min="9476" max="9476" width="11.42578125" style="262" customWidth="1"/>
    <col min="9477" max="9477" width="1.85546875" style="262" customWidth="1"/>
    <col min="9478" max="9481" width="5.42578125" style="262" customWidth="1"/>
    <col min="9482" max="9482" width="10.42578125" style="262" customWidth="1"/>
    <col min="9483" max="9483" width="7.85546875" style="262" customWidth="1"/>
    <col min="9484" max="9484" width="8.85546875" style="262" customWidth="1"/>
    <col min="9485" max="9485" width="8.42578125" style="262" customWidth="1"/>
    <col min="9486" max="9486" width="4.42578125" style="262" customWidth="1"/>
    <col min="9487" max="9488" width="4.140625" style="262" customWidth="1"/>
    <col min="9489" max="9489" width="6.85546875" style="262" customWidth="1"/>
    <col min="9490" max="9490" width="4.140625" style="262" customWidth="1"/>
    <col min="9491" max="9496" width="4.42578125" style="262" customWidth="1"/>
    <col min="9497" max="9497" width="7" style="262" customWidth="1"/>
    <col min="9498" max="9498" width="0" style="262" hidden="1" customWidth="1"/>
    <col min="9499" max="9502" width="3.5703125" style="262" customWidth="1"/>
    <col min="9503" max="9504" width="3.5703125" style="262"/>
    <col min="9505" max="9506" width="0" style="262" hidden="1" customWidth="1"/>
    <col min="9507" max="9513" width="3.5703125" style="262"/>
    <col min="9514" max="9514" width="5.5703125" style="262" bestFit="1" customWidth="1"/>
    <col min="9515" max="9516" width="3.5703125" style="262"/>
    <col min="9517" max="9517" width="6.5703125" style="262" bestFit="1" customWidth="1"/>
    <col min="9518" max="9518" width="3.5703125" style="262"/>
    <col min="9519" max="9519" width="5.5703125" style="262" bestFit="1" customWidth="1"/>
    <col min="9520" max="9731" width="3.5703125" style="262"/>
    <col min="9732" max="9732" width="11.42578125" style="262" customWidth="1"/>
    <col min="9733" max="9733" width="1.85546875" style="262" customWidth="1"/>
    <col min="9734" max="9737" width="5.42578125" style="262" customWidth="1"/>
    <col min="9738" max="9738" width="10.42578125" style="262" customWidth="1"/>
    <col min="9739" max="9739" width="7.85546875" style="262" customWidth="1"/>
    <col min="9740" max="9740" width="8.85546875" style="262" customWidth="1"/>
    <col min="9741" max="9741" width="8.42578125" style="262" customWidth="1"/>
    <col min="9742" max="9742" width="4.42578125" style="262" customWidth="1"/>
    <col min="9743" max="9744" width="4.140625" style="262" customWidth="1"/>
    <col min="9745" max="9745" width="6.85546875" style="262" customWidth="1"/>
    <col min="9746" max="9746" width="4.140625" style="262" customWidth="1"/>
    <col min="9747" max="9752" width="4.42578125" style="262" customWidth="1"/>
    <col min="9753" max="9753" width="7" style="262" customWidth="1"/>
    <col min="9754" max="9754" width="0" style="262" hidden="1" customWidth="1"/>
    <col min="9755" max="9758" width="3.5703125" style="262" customWidth="1"/>
    <col min="9759" max="9760" width="3.5703125" style="262"/>
    <col min="9761" max="9762" width="0" style="262" hidden="1" customWidth="1"/>
    <col min="9763" max="9769" width="3.5703125" style="262"/>
    <col min="9770" max="9770" width="5.5703125" style="262" bestFit="1" customWidth="1"/>
    <col min="9771" max="9772" width="3.5703125" style="262"/>
    <col min="9773" max="9773" width="6.5703125" style="262" bestFit="1" customWidth="1"/>
    <col min="9774" max="9774" width="3.5703125" style="262"/>
    <col min="9775" max="9775" width="5.5703125" style="262" bestFit="1" customWidth="1"/>
    <col min="9776" max="9987" width="3.5703125" style="262"/>
    <col min="9988" max="9988" width="11.42578125" style="262" customWidth="1"/>
    <col min="9989" max="9989" width="1.85546875" style="262" customWidth="1"/>
    <col min="9990" max="9993" width="5.42578125" style="262" customWidth="1"/>
    <col min="9994" max="9994" width="10.42578125" style="262" customWidth="1"/>
    <col min="9995" max="9995" width="7.85546875" style="262" customWidth="1"/>
    <col min="9996" max="9996" width="8.85546875" style="262" customWidth="1"/>
    <col min="9997" max="9997" width="8.42578125" style="262" customWidth="1"/>
    <col min="9998" max="9998" width="4.42578125" style="262" customWidth="1"/>
    <col min="9999" max="10000" width="4.140625" style="262" customWidth="1"/>
    <col min="10001" max="10001" width="6.85546875" style="262" customWidth="1"/>
    <col min="10002" max="10002" width="4.140625" style="262" customWidth="1"/>
    <col min="10003" max="10008" width="4.42578125" style="262" customWidth="1"/>
    <col min="10009" max="10009" width="7" style="262" customWidth="1"/>
    <col min="10010" max="10010" width="0" style="262" hidden="1" customWidth="1"/>
    <col min="10011" max="10014" width="3.5703125" style="262" customWidth="1"/>
    <col min="10015" max="10016" width="3.5703125" style="262"/>
    <col min="10017" max="10018" width="0" style="262" hidden="1" customWidth="1"/>
    <col min="10019" max="10025" width="3.5703125" style="262"/>
    <col min="10026" max="10026" width="5.5703125" style="262" bestFit="1" customWidth="1"/>
    <col min="10027" max="10028" width="3.5703125" style="262"/>
    <col min="10029" max="10029" width="6.5703125" style="262" bestFit="1" customWidth="1"/>
    <col min="10030" max="10030" width="3.5703125" style="262"/>
    <col min="10031" max="10031" width="5.5703125" style="262" bestFit="1" customWidth="1"/>
    <col min="10032" max="10243" width="3.5703125" style="262"/>
    <col min="10244" max="10244" width="11.42578125" style="262" customWidth="1"/>
    <col min="10245" max="10245" width="1.85546875" style="262" customWidth="1"/>
    <col min="10246" max="10249" width="5.42578125" style="262" customWidth="1"/>
    <col min="10250" max="10250" width="10.42578125" style="262" customWidth="1"/>
    <col min="10251" max="10251" width="7.85546875" style="262" customWidth="1"/>
    <col min="10252" max="10252" width="8.85546875" style="262" customWidth="1"/>
    <col min="10253" max="10253" width="8.42578125" style="262" customWidth="1"/>
    <col min="10254" max="10254" width="4.42578125" style="262" customWidth="1"/>
    <col min="10255" max="10256" width="4.140625" style="262" customWidth="1"/>
    <col min="10257" max="10257" width="6.85546875" style="262" customWidth="1"/>
    <col min="10258" max="10258" width="4.140625" style="262" customWidth="1"/>
    <col min="10259" max="10264" width="4.42578125" style="262" customWidth="1"/>
    <col min="10265" max="10265" width="7" style="262" customWidth="1"/>
    <col min="10266" max="10266" width="0" style="262" hidden="1" customWidth="1"/>
    <col min="10267" max="10270" width="3.5703125" style="262" customWidth="1"/>
    <col min="10271" max="10272" width="3.5703125" style="262"/>
    <col min="10273" max="10274" width="0" style="262" hidden="1" customWidth="1"/>
    <col min="10275" max="10281" width="3.5703125" style="262"/>
    <col min="10282" max="10282" width="5.5703125" style="262" bestFit="1" customWidth="1"/>
    <col min="10283" max="10284" width="3.5703125" style="262"/>
    <col min="10285" max="10285" width="6.5703125" style="262" bestFit="1" customWidth="1"/>
    <col min="10286" max="10286" width="3.5703125" style="262"/>
    <col min="10287" max="10287" width="5.5703125" style="262" bestFit="1" customWidth="1"/>
    <col min="10288" max="10499" width="3.5703125" style="262"/>
    <col min="10500" max="10500" width="11.42578125" style="262" customWidth="1"/>
    <col min="10501" max="10501" width="1.85546875" style="262" customWidth="1"/>
    <col min="10502" max="10505" width="5.42578125" style="262" customWidth="1"/>
    <col min="10506" max="10506" width="10.42578125" style="262" customWidth="1"/>
    <col min="10507" max="10507" width="7.85546875" style="262" customWidth="1"/>
    <col min="10508" max="10508" width="8.85546875" style="262" customWidth="1"/>
    <col min="10509" max="10509" width="8.42578125" style="262" customWidth="1"/>
    <col min="10510" max="10510" width="4.42578125" style="262" customWidth="1"/>
    <col min="10511" max="10512" width="4.140625" style="262" customWidth="1"/>
    <col min="10513" max="10513" width="6.85546875" style="262" customWidth="1"/>
    <col min="10514" max="10514" width="4.140625" style="262" customWidth="1"/>
    <col min="10515" max="10520" width="4.42578125" style="262" customWidth="1"/>
    <col min="10521" max="10521" width="7" style="262" customWidth="1"/>
    <col min="10522" max="10522" width="0" style="262" hidden="1" customWidth="1"/>
    <col min="10523" max="10526" width="3.5703125" style="262" customWidth="1"/>
    <col min="10527" max="10528" width="3.5703125" style="262"/>
    <col min="10529" max="10530" width="0" style="262" hidden="1" customWidth="1"/>
    <col min="10531" max="10537" width="3.5703125" style="262"/>
    <col min="10538" max="10538" width="5.5703125" style="262" bestFit="1" customWidth="1"/>
    <col min="10539" max="10540" width="3.5703125" style="262"/>
    <col min="10541" max="10541" width="6.5703125" style="262" bestFit="1" customWidth="1"/>
    <col min="10542" max="10542" width="3.5703125" style="262"/>
    <col min="10543" max="10543" width="5.5703125" style="262" bestFit="1" customWidth="1"/>
    <col min="10544" max="10755" width="3.5703125" style="262"/>
    <col min="10756" max="10756" width="11.42578125" style="262" customWidth="1"/>
    <col min="10757" max="10757" width="1.85546875" style="262" customWidth="1"/>
    <col min="10758" max="10761" width="5.42578125" style="262" customWidth="1"/>
    <col min="10762" max="10762" width="10.42578125" style="262" customWidth="1"/>
    <col min="10763" max="10763" width="7.85546875" style="262" customWidth="1"/>
    <col min="10764" max="10764" width="8.85546875" style="262" customWidth="1"/>
    <col min="10765" max="10765" width="8.42578125" style="262" customWidth="1"/>
    <col min="10766" max="10766" width="4.42578125" style="262" customWidth="1"/>
    <col min="10767" max="10768" width="4.140625" style="262" customWidth="1"/>
    <col min="10769" max="10769" width="6.85546875" style="262" customWidth="1"/>
    <col min="10770" max="10770" width="4.140625" style="262" customWidth="1"/>
    <col min="10771" max="10776" width="4.42578125" style="262" customWidth="1"/>
    <col min="10777" max="10777" width="7" style="262" customWidth="1"/>
    <col min="10778" max="10778" width="0" style="262" hidden="1" customWidth="1"/>
    <col min="10779" max="10782" width="3.5703125" style="262" customWidth="1"/>
    <col min="10783" max="10784" width="3.5703125" style="262"/>
    <col min="10785" max="10786" width="0" style="262" hidden="1" customWidth="1"/>
    <col min="10787" max="10793" width="3.5703125" style="262"/>
    <col min="10794" max="10794" width="5.5703125" style="262" bestFit="1" customWidth="1"/>
    <col min="10795" max="10796" width="3.5703125" style="262"/>
    <col min="10797" max="10797" width="6.5703125" style="262" bestFit="1" customWidth="1"/>
    <col min="10798" max="10798" width="3.5703125" style="262"/>
    <col min="10799" max="10799" width="5.5703125" style="262" bestFit="1" customWidth="1"/>
    <col min="10800" max="11011" width="3.5703125" style="262"/>
    <col min="11012" max="11012" width="11.42578125" style="262" customWidth="1"/>
    <col min="11013" max="11013" width="1.85546875" style="262" customWidth="1"/>
    <col min="11014" max="11017" width="5.42578125" style="262" customWidth="1"/>
    <col min="11018" max="11018" width="10.42578125" style="262" customWidth="1"/>
    <col min="11019" max="11019" width="7.85546875" style="262" customWidth="1"/>
    <col min="11020" max="11020" width="8.85546875" style="262" customWidth="1"/>
    <col min="11021" max="11021" width="8.42578125" style="262" customWidth="1"/>
    <col min="11022" max="11022" width="4.42578125" style="262" customWidth="1"/>
    <col min="11023" max="11024" width="4.140625" style="262" customWidth="1"/>
    <col min="11025" max="11025" width="6.85546875" style="262" customWidth="1"/>
    <col min="11026" max="11026" width="4.140625" style="262" customWidth="1"/>
    <col min="11027" max="11032" width="4.42578125" style="262" customWidth="1"/>
    <col min="11033" max="11033" width="7" style="262" customWidth="1"/>
    <col min="11034" max="11034" width="0" style="262" hidden="1" customWidth="1"/>
    <col min="11035" max="11038" width="3.5703125" style="262" customWidth="1"/>
    <col min="11039" max="11040" width="3.5703125" style="262"/>
    <col min="11041" max="11042" width="0" style="262" hidden="1" customWidth="1"/>
    <col min="11043" max="11049" width="3.5703125" style="262"/>
    <col min="11050" max="11050" width="5.5703125" style="262" bestFit="1" customWidth="1"/>
    <col min="11051" max="11052" width="3.5703125" style="262"/>
    <col min="11053" max="11053" width="6.5703125" style="262" bestFit="1" customWidth="1"/>
    <col min="11054" max="11054" width="3.5703125" style="262"/>
    <col min="11055" max="11055" width="5.5703125" style="262" bestFit="1" customWidth="1"/>
    <col min="11056" max="11267" width="3.5703125" style="262"/>
    <col min="11268" max="11268" width="11.42578125" style="262" customWidth="1"/>
    <col min="11269" max="11269" width="1.85546875" style="262" customWidth="1"/>
    <col min="11270" max="11273" width="5.42578125" style="262" customWidth="1"/>
    <col min="11274" max="11274" width="10.42578125" style="262" customWidth="1"/>
    <col min="11275" max="11275" width="7.85546875" style="262" customWidth="1"/>
    <col min="11276" max="11276" width="8.85546875" style="262" customWidth="1"/>
    <col min="11277" max="11277" width="8.42578125" style="262" customWidth="1"/>
    <col min="11278" max="11278" width="4.42578125" style="262" customWidth="1"/>
    <col min="11279" max="11280" width="4.140625" style="262" customWidth="1"/>
    <col min="11281" max="11281" width="6.85546875" style="262" customWidth="1"/>
    <col min="11282" max="11282" width="4.140625" style="262" customWidth="1"/>
    <col min="11283" max="11288" width="4.42578125" style="262" customWidth="1"/>
    <col min="11289" max="11289" width="7" style="262" customWidth="1"/>
    <col min="11290" max="11290" width="0" style="262" hidden="1" customWidth="1"/>
    <col min="11291" max="11294" width="3.5703125" style="262" customWidth="1"/>
    <col min="11295" max="11296" width="3.5703125" style="262"/>
    <col min="11297" max="11298" width="0" style="262" hidden="1" customWidth="1"/>
    <col min="11299" max="11305" width="3.5703125" style="262"/>
    <col min="11306" max="11306" width="5.5703125" style="262" bestFit="1" customWidth="1"/>
    <col min="11307" max="11308" width="3.5703125" style="262"/>
    <col min="11309" max="11309" width="6.5703125" style="262" bestFit="1" customWidth="1"/>
    <col min="11310" max="11310" width="3.5703125" style="262"/>
    <col min="11311" max="11311" width="5.5703125" style="262" bestFit="1" customWidth="1"/>
    <col min="11312" max="11523" width="3.5703125" style="262"/>
    <col min="11524" max="11524" width="11.42578125" style="262" customWidth="1"/>
    <col min="11525" max="11525" width="1.85546875" style="262" customWidth="1"/>
    <col min="11526" max="11529" width="5.42578125" style="262" customWidth="1"/>
    <col min="11530" max="11530" width="10.42578125" style="262" customWidth="1"/>
    <col min="11531" max="11531" width="7.85546875" style="262" customWidth="1"/>
    <col min="11532" max="11532" width="8.85546875" style="262" customWidth="1"/>
    <col min="11533" max="11533" width="8.42578125" style="262" customWidth="1"/>
    <col min="11534" max="11534" width="4.42578125" style="262" customWidth="1"/>
    <col min="11535" max="11536" width="4.140625" style="262" customWidth="1"/>
    <col min="11537" max="11537" width="6.85546875" style="262" customWidth="1"/>
    <col min="11538" max="11538" width="4.140625" style="262" customWidth="1"/>
    <col min="11539" max="11544" width="4.42578125" style="262" customWidth="1"/>
    <col min="11545" max="11545" width="7" style="262" customWidth="1"/>
    <col min="11546" max="11546" width="0" style="262" hidden="1" customWidth="1"/>
    <col min="11547" max="11550" width="3.5703125" style="262" customWidth="1"/>
    <col min="11551" max="11552" width="3.5703125" style="262"/>
    <col min="11553" max="11554" width="0" style="262" hidden="1" customWidth="1"/>
    <col min="11555" max="11561" width="3.5703125" style="262"/>
    <col min="11562" max="11562" width="5.5703125" style="262" bestFit="1" customWidth="1"/>
    <col min="11563" max="11564" width="3.5703125" style="262"/>
    <col min="11565" max="11565" width="6.5703125" style="262" bestFit="1" customWidth="1"/>
    <col min="11566" max="11566" width="3.5703125" style="262"/>
    <col min="11567" max="11567" width="5.5703125" style="262" bestFit="1" customWidth="1"/>
    <col min="11568" max="11779" width="3.5703125" style="262"/>
    <col min="11780" max="11780" width="11.42578125" style="262" customWidth="1"/>
    <col min="11781" max="11781" width="1.85546875" style="262" customWidth="1"/>
    <col min="11782" max="11785" width="5.42578125" style="262" customWidth="1"/>
    <col min="11786" max="11786" width="10.42578125" style="262" customWidth="1"/>
    <col min="11787" max="11787" width="7.85546875" style="262" customWidth="1"/>
    <col min="11788" max="11788" width="8.85546875" style="262" customWidth="1"/>
    <col min="11789" max="11789" width="8.42578125" style="262" customWidth="1"/>
    <col min="11790" max="11790" width="4.42578125" style="262" customWidth="1"/>
    <col min="11791" max="11792" width="4.140625" style="262" customWidth="1"/>
    <col min="11793" max="11793" width="6.85546875" style="262" customWidth="1"/>
    <col min="11794" max="11794" width="4.140625" style="262" customWidth="1"/>
    <col min="11795" max="11800" width="4.42578125" style="262" customWidth="1"/>
    <col min="11801" max="11801" width="7" style="262" customWidth="1"/>
    <col min="11802" max="11802" width="0" style="262" hidden="1" customWidth="1"/>
    <col min="11803" max="11806" width="3.5703125" style="262" customWidth="1"/>
    <col min="11807" max="11808" width="3.5703125" style="262"/>
    <col min="11809" max="11810" width="0" style="262" hidden="1" customWidth="1"/>
    <col min="11811" max="11817" width="3.5703125" style="262"/>
    <col min="11818" max="11818" width="5.5703125" style="262" bestFit="1" customWidth="1"/>
    <col min="11819" max="11820" width="3.5703125" style="262"/>
    <col min="11821" max="11821" width="6.5703125" style="262" bestFit="1" customWidth="1"/>
    <col min="11822" max="11822" width="3.5703125" style="262"/>
    <col min="11823" max="11823" width="5.5703125" style="262" bestFit="1" customWidth="1"/>
    <col min="11824" max="12035" width="3.5703125" style="262"/>
    <col min="12036" max="12036" width="11.42578125" style="262" customWidth="1"/>
    <col min="12037" max="12037" width="1.85546875" style="262" customWidth="1"/>
    <col min="12038" max="12041" width="5.42578125" style="262" customWidth="1"/>
    <col min="12042" max="12042" width="10.42578125" style="262" customWidth="1"/>
    <col min="12043" max="12043" width="7.85546875" style="262" customWidth="1"/>
    <col min="12044" max="12044" width="8.85546875" style="262" customWidth="1"/>
    <col min="12045" max="12045" width="8.42578125" style="262" customWidth="1"/>
    <col min="12046" max="12046" width="4.42578125" style="262" customWidth="1"/>
    <col min="12047" max="12048" width="4.140625" style="262" customWidth="1"/>
    <col min="12049" max="12049" width="6.85546875" style="262" customWidth="1"/>
    <col min="12050" max="12050" width="4.140625" style="262" customWidth="1"/>
    <col min="12051" max="12056" width="4.42578125" style="262" customWidth="1"/>
    <col min="12057" max="12057" width="7" style="262" customWidth="1"/>
    <col min="12058" max="12058" width="0" style="262" hidden="1" customWidth="1"/>
    <col min="12059" max="12062" width="3.5703125" style="262" customWidth="1"/>
    <col min="12063" max="12064" width="3.5703125" style="262"/>
    <col min="12065" max="12066" width="0" style="262" hidden="1" customWidth="1"/>
    <col min="12067" max="12073" width="3.5703125" style="262"/>
    <col min="12074" max="12074" width="5.5703125" style="262" bestFit="1" customWidth="1"/>
    <col min="12075" max="12076" width="3.5703125" style="262"/>
    <col min="12077" max="12077" width="6.5703125" style="262" bestFit="1" customWidth="1"/>
    <col min="12078" max="12078" width="3.5703125" style="262"/>
    <col min="12079" max="12079" width="5.5703125" style="262" bestFit="1" customWidth="1"/>
    <col min="12080" max="12291" width="3.5703125" style="262"/>
    <col min="12292" max="12292" width="11.42578125" style="262" customWidth="1"/>
    <col min="12293" max="12293" width="1.85546875" style="262" customWidth="1"/>
    <col min="12294" max="12297" width="5.42578125" style="262" customWidth="1"/>
    <col min="12298" max="12298" width="10.42578125" style="262" customWidth="1"/>
    <col min="12299" max="12299" width="7.85546875" style="262" customWidth="1"/>
    <col min="12300" max="12300" width="8.85546875" style="262" customWidth="1"/>
    <col min="12301" max="12301" width="8.42578125" style="262" customWidth="1"/>
    <col min="12302" max="12302" width="4.42578125" style="262" customWidth="1"/>
    <col min="12303" max="12304" width="4.140625" style="262" customWidth="1"/>
    <col min="12305" max="12305" width="6.85546875" style="262" customWidth="1"/>
    <col min="12306" max="12306" width="4.140625" style="262" customWidth="1"/>
    <col min="12307" max="12312" width="4.42578125" style="262" customWidth="1"/>
    <col min="12313" max="12313" width="7" style="262" customWidth="1"/>
    <col min="12314" max="12314" width="0" style="262" hidden="1" customWidth="1"/>
    <col min="12315" max="12318" width="3.5703125" style="262" customWidth="1"/>
    <col min="12319" max="12320" width="3.5703125" style="262"/>
    <col min="12321" max="12322" width="0" style="262" hidden="1" customWidth="1"/>
    <col min="12323" max="12329" width="3.5703125" style="262"/>
    <col min="12330" max="12330" width="5.5703125" style="262" bestFit="1" customWidth="1"/>
    <col min="12331" max="12332" width="3.5703125" style="262"/>
    <col min="12333" max="12333" width="6.5703125" style="262" bestFit="1" customWidth="1"/>
    <col min="12334" max="12334" width="3.5703125" style="262"/>
    <col min="12335" max="12335" width="5.5703125" style="262" bestFit="1" customWidth="1"/>
    <col min="12336" max="12547" width="3.5703125" style="262"/>
    <col min="12548" max="12548" width="11.42578125" style="262" customWidth="1"/>
    <col min="12549" max="12549" width="1.85546875" style="262" customWidth="1"/>
    <col min="12550" max="12553" width="5.42578125" style="262" customWidth="1"/>
    <col min="12554" max="12554" width="10.42578125" style="262" customWidth="1"/>
    <col min="12555" max="12555" width="7.85546875" style="262" customWidth="1"/>
    <col min="12556" max="12556" width="8.85546875" style="262" customWidth="1"/>
    <col min="12557" max="12557" width="8.42578125" style="262" customWidth="1"/>
    <col min="12558" max="12558" width="4.42578125" style="262" customWidth="1"/>
    <col min="12559" max="12560" width="4.140625" style="262" customWidth="1"/>
    <col min="12561" max="12561" width="6.85546875" style="262" customWidth="1"/>
    <col min="12562" max="12562" width="4.140625" style="262" customWidth="1"/>
    <col min="12563" max="12568" width="4.42578125" style="262" customWidth="1"/>
    <col min="12569" max="12569" width="7" style="262" customWidth="1"/>
    <col min="12570" max="12570" width="0" style="262" hidden="1" customWidth="1"/>
    <col min="12571" max="12574" width="3.5703125" style="262" customWidth="1"/>
    <col min="12575" max="12576" width="3.5703125" style="262"/>
    <col min="12577" max="12578" width="0" style="262" hidden="1" customWidth="1"/>
    <col min="12579" max="12585" width="3.5703125" style="262"/>
    <col min="12586" max="12586" width="5.5703125" style="262" bestFit="1" customWidth="1"/>
    <col min="12587" max="12588" width="3.5703125" style="262"/>
    <col min="12589" max="12589" width="6.5703125" style="262" bestFit="1" customWidth="1"/>
    <col min="12590" max="12590" width="3.5703125" style="262"/>
    <col min="12591" max="12591" width="5.5703125" style="262" bestFit="1" customWidth="1"/>
    <col min="12592" max="12803" width="3.5703125" style="262"/>
    <col min="12804" max="12804" width="11.42578125" style="262" customWidth="1"/>
    <col min="12805" max="12805" width="1.85546875" style="262" customWidth="1"/>
    <col min="12806" max="12809" width="5.42578125" style="262" customWidth="1"/>
    <col min="12810" max="12810" width="10.42578125" style="262" customWidth="1"/>
    <col min="12811" max="12811" width="7.85546875" style="262" customWidth="1"/>
    <col min="12812" max="12812" width="8.85546875" style="262" customWidth="1"/>
    <col min="12813" max="12813" width="8.42578125" style="262" customWidth="1"/>
    <col min="12814" max="12814" width="4.42578125" style="262" customWidth="1"/>
    <col min="12815" max="12816" width="4.140625" style="262" customWidth="1"/>
    <col min="12817" max="12817" width="6.85546875" style="262" customWidth="1"/>
    <col min="12818" max="12818" width="4.140625" style="262" customWidth="1"/>
    <col min="12819" max="12824" width="4.42578125" style="262" customWidth="1"/>
    <col min="12825" max="12825" width="7" style="262" customWidth="1"/>
    <col min="12826" max="12826" width="0" style="262" hidden="1" customWidth="1"/>
    <col min="12827" max="12830" width="3.5703125" style="262" customWidth="1"/>
    <col min="12831" max="12832" width="3.5703125" style="262"/>
    <col min="12833" max="12834" width="0" style="262" hidden="1" customWidth="1"/>
    <col min="12835" max="12841" width="3.5703125" style="262"/>
    <col min="12842" max="12842" width="5.5703125" style="262" bestFit="1" customWidth="1"/>
    <col min="12843" max="12844" width="3.5703125" style="262"/>
    <col min="12845" max="12845" width="6.5703125" style="262" bestFit="1" customWidth="1"/>
    <col min="12846" max="12846" width="3.5703125" style="262"/>
    <col min="12847" max="12847" width="5.5703125" style="262" bestFit="1" customWidth="1"/>
    <col min="12848" max="13059" width="3.5703125" style="262"/>
    <col min="13060" max="13060" width="11.42578125" style="262" customWidth="1"/>
    <col min="13061" max="13061" width="1.85546875" style="262" customWidth="1"/>
    <col min="13062" max="13065" width="5.42578125" style="262" customWidth="1"/>
    <col min="13066" max="13066" width="10.42578125" style="262" customWidth="1"/>
    <col min="13067" max="13067" width="7.85546875" style="262" customWidth="1"/>
    <col min="13068" max="13068" width="8.85546875" style="262" customWidth="1"/>
    <col min="13069" max="13069" width="8.42578125" style="262" customWidth="1"/>
    <col min="13070" max="13070" width="4.42578125" style="262" customWidth="1"/>
    <col min="13071" max="13072" width="4.140625" style="262" customWidth="1"/>
    <col min="13073" max="13073" width="6.85546875" style="262" customWidth="1"/>
    <col min="13074" max="13074" width="4.140625" style="262" customWidth="1"/>
    <col min="13075" max="13080" width="4.42578125" style="262" customWidth="1"/>
    <col min="13081" max="13081" width="7" style="262" customWidth="1"/>
    <col min="13082" max="13082" width="0" style="262" hidden="1" customWidth="1"/>
    <col min="13083" max="13086" width="3.5703125" style="262" customWidth="1"/>
    <col min="13087" max="13088" width="3.5703125" style="262"/>
    <col min="13089" max="13090" width="0" style="262" hidden="1" customWidth="1"/>
    <col min="13091" max="13097" width="3.5703125" style="262"/>
    <col min="13098" max="13098" width="5.5703125" style="262" bestFit="1" customWidth="1"/>
    <col min="13099" max="13100" width="3.5703125" style="262"/>
    <col min="13101" max="13101" width="6.5703125" style="262" bestFit="1" customWidth="1"/>
    <col min="13102" max="13102" width="3.5703125" style="262"/>
    <col min="13103" max="13103" width="5.5703125" style="262" bestFit="1" customWidth="1"/>
    <col min="13104" max="13315" width="3.5703125" style="262"/>
    <col min="13316" max="13316" width="11.42578125" style="262" customWidth="1"/>
    <col min="13317" max="13317" width="1.85546875" style="262" customWidth="1"/>
    <col min="13318" max="13321" width="5.42578125" style="262" customWidth="1"/>
    <col min="13322" max="13322" width="10.42578125" style="262" customWidth="1"/>
    <col min="13323" max="13323" width="7.85546875" style="262" customWidth="1"/>
    <col min="13324" max="13324" width="8.85546875" style="262" customWidth="1"/>
    <col min="13325" max="13325" width="8.42578125" style="262" customWidth="1"/>
    <col min="13326" max="13326" width="4.42578125" style="262" customWidth="1"/>
    <col min="13327" max="13328" width="4.140625" style="262" customWidth="1"/>
    <col min="13329" max="13329" width="6.85546875" style="262" customWidth="1"/>
    <col min="13330" max="13330" width="4.140625" style="262" customWidth="1"/>
    <col min="13331" max="13336" width="4.42578125" style="262" customWidth="1"/>
    <col min="13337" max="13337" width="7" style="262" customWidth="1"/>
    <col min="13338" max="13338" width="0" style="262" hidden="1" customWidth="1"/>
    <col min="13339" max="13342" width="3.5703125" style="262" customWidth="1"/>
    <col min="13343" max="13344" width="3.5703125" style="262"/>
    <col min="13345" max="13346" width="0" style="262" hidden="1" customWidth="1"/>
    <col min="13347" max="13353" width="3.5703125" style="262"/>
    <col min="13354" max="13354" width="5.5703125" style="262" bestFit="1" customWidth="1"/>
    <col min="13355" max="13356" width="3.5703125" style="262"/>
    <col min="13357" max="13357" width="6.5703125" style="262" bestFit="1" customWidth="1"/>
    <col min="13358" max="13358" width="3.5703125" style="262"/>
    <col min="13359" max="13359" width="5.5703125" style="262" bestFit="1" customWidth="1"/>
    <col min="13360" max="13571" width="3.5703125" style="262"/>
    <col min="13572" max="13572" width="11.42578125" style="262" customWidth="1"/>
    <col min="13573" max="13573" width="1.85546875" style="262" customWidth="1"/>
    <col min="13574" max="13577" width="5.42578125" style="262" customWidth="1"/>
    <col min="13578" max="13578" width="10.42578125" style="262" customWidth="1"/>
    <col min="13579" max="13579" width="7.85546875" style="262" customWidth="1"/>
    <col min="13580" max="13580" width="8.85546875" style="262" customWidth="1"/>
    <col min="13581" max="13581" width="8.42578125" style="262" customWidth="1"/>
    <col min="13582" max="13582" width="4.42578125" style="262" customWidth="1"/>
    <col min="13583" max="13584" width="4.140625" style="262" customWidth="1"/>
    <col min="13585" max="13585" width="6.85546875" style="262" customWidth="1"/>
    <col min="13586" max="13586" width="4.140625" style="262" customWidth="1"/>
    <col min="13587" max="13592" width="4.42578125" style="262" customWidth="1"/>
    <col min="13593" max="13593" width="7" style="262" customWidth="1"/>
    <col min="13594" max="13594" width="0" style="262" hidden="1" customWidth="1"/>
    <col min="13595" max="13598" width="3.5703125" style="262" customWidth="1"/>
    <col min="13599" max="13600" width="3.5703125" style="262"/>
    <col min="13601" max="13602" width="0" style="262" hidden="1" customWidth="1"/>
    <col min="13603" max="13609" width="3.5703125" style="262"/>
    <col min="13610" max="13610" width="5.5703125" style="262" bestFit="1" customWidth="1"/>
    <col min="13611" max="13612" width="3.5703125" style="262"/>
    <col min="13613" max="13613" width="6.5703125" style="262" bestFit="1" customWidth="1"/>
    <col min="13614" max="13614" width="3.5703125" style="262"/>
    <col min="13615" max="13615" width="5.5703125" style="262" bestFit="1" customWidth="1"/>
    <col min="13616" max="13827" width="3.5703125" style="262"/>
    <col min="13828" max="13828" width="11.42578125" style="262" customWidth="1"/>
    <col min="13829" max="13829" width="1.85546875" style="262" customWidth="1"/>
    <col min="13830" max="13833" width="5.42578125" style="262" customWidth="1"/>
    <col min="13834" max="13834" width="10.42578125" style="262" customWidth="1"/>
    <col min="13835" max="13835" width="7.85546875" style="262" customWidth="1"/>
    <col min="13836" max="13836" width="8.85546875" style="262" customWidth="1"/>
    <col min="13837" max="13837" width="8.42578125" style="262" customWidth="1"/>
    <col min="13838" max="13838" width="4.42578125" style="262" customWidth="1"/>
    <col min="13839" max="13840" width="4.140625" style="262" customWidth="1"/>
    <col min="13841" max="13841" width="6.85546875" style="262" customWidth="1"/>
    <col min="13842" max="13842" width="4.140625" style="262" customWidth="1"/>
    <col min="13843" max="13848" width="4.42578125" style="262" customWidth="1"/>
    <col min="13849" max="13849" width="7" style="262" customWidth="1"/>
    <col min="13850" max="13850" width="0" style="262" hidden="1" customWidth="1"/>
    <col min="13851" max="13854" width="3.5703125" style="262" customWidth="1"/>
    <col min="13855" max="13856" width="3.5703125" style="262"/>
    <col min="13857" max="13858" width="0" style="262" hidden="1" customWidth="1"/>
    <col min="13859" max="13865" width="3.5703125" style="262"/>
    <col min="13866" max="13866" width="5.5703125" style="262" bestFit="1" customWidth="1"/>
    <col min="13867" max="13868" width="3.5703125" style="262"/>
    <col min="13869" max="13869" width="6.5703125" style="262" bestFit="1" customWidth="1"/>
    <col min="13870" max="13870" width="3.5703125" style="262"/>
    <col min="13871" max="13871" width="5.5703125" style="262" bestFit="1" customWidth="1"/>
    <col min="13872" max="14083" width="3.5703125" style="262"/>
    <col min="14084" max="14084" width="11.42578125" style="262" customWidth="1"/>
    <col min="14085" max="14085" width="1.85546875" style="262" customWidth="1"/>
    <col min="14086" max="14089" width="5.42578125" style="262" customWidth="1"/>
    <col min="14090" max="14090" width="10.42578125" style="262" customWidth="1"/>
    <col min="14091" max="14091" width="7.85546875" style="262" customWidth="1"/>
    <col min="14092" max="14092" width="8.85546875" style="262" customWidth="1"/>
    <col min="14093" max="14093" width="8.42578125" style="262" customWidth="1"/>
    <col min="14094" max="14094" width="4.42578125" style="262" customWidth="1"/>
    <col min="14095" max="14096" width="4.140625" style="262" customWidth="1"/>
    <col min="14097" max="14097" width="6.85546875" style="262" customWidth="1"/>
    <col min="14098" max="14098" width="4.140625" style="262" customWidth="1"/>
    <col min="14099" max="14104" width="4.42578125" style="262" customWidth="1"/>
    <col min="14105" max="14105" width="7" style="262" customWidth="1"/>
    <col min="14106" max="14106" width="0" style="262" hidden="1" customWidth="1"/>
    <col min="14107" max="14110" width="3.5703125" style="262" customWidth="1"/>
    <col min="14111" max="14112" width="3.5703125" style="262"/>
    <col min="14113" max="14114" width="0" style="262" hidden="1" customWidth="1"/>
    <col min="14115" max="14121" width="3.5703125" style="262"/>
    <col min="14122" max="14122" width="5.5703125" style="262" bestFit="1" customWidth="1"/>
    <col min="14123" max="14124" width="3.5703125" style="262"/>
    <col min="14125" max="14125" width="6.5703125" style="262" bestFit="1" customWidth="1"/>
    <col min="14126" max="14126" width="3.5703125" style="262"/>
    <col min="14127" max="14127" width="5.5703125" style="262" bestFit="1" customWidth="1"/>
    <col min="14128" max="14339" width="3.5703125" style="262"/>
    <col min="14340" max="14340" width="11.42578125" style="262" customWidth="1"/>
    <col min="14341" max="14341" width="1.85546875" style="262" customWidth="1"/>
    <col min="14342" max="14345" width="5.42578125" style="262" customWidth="1"/>
    <col min="14346" max="14346" width="10.42578125" style="262" customWidth="1"/>
    <col min="14347" max="14347" width="7.85546875" style="262" customWidth="1"/>
    <col min="14348" max="14348" width="8.85546875" style="262" customWidth="1"/>
    <col min="14349" max="14349" width="8.42578125" style="262" customWidth="1"/>
    <col min="14350" max="14350" width="4.42578125" style="262" customWidth="1"/>
    <col min="14351" max="14352" width="4.140625" style="262" customWidth="1"/>
    <col min="14353" max="14353" width="6.85546875" style="262" customWidth="1"/>
    <col min="14354" max="14354" width="4.140625" style="262" customWidth="1"/>
    <col min="14355" max="14360" width="4.42578125" style="262" customWidth="1"/>
    <col min="14361" max="14361" width="7" style="262" customWidth="1"/>
    <col min="14362" max="14362" width="0" style="262" hidden="1" customWidth="1"/>
    <col min="14363" max="14366" width="3.5703125" style="262" customWidth="1"/>
    <col min="14367" max="14368" width="3.5703125" style="262"/>
    <col min="14369" max="14370" width="0" style="262" hidden="1" customWidth="1"/>
    <col min="14371" max="14377" width="3.5703125" style="262"/>
    <col min="14378" max="14378" width="5.5703125" style="262" bestFit="1" customWidth="1"/>
    <col min="14379" max="14380" width="3.5703125" style="262"/>
    <col min="14381" max="14381" width="6.5703125" style="262" bestFit="1" customWidth="1"/>
    <col min="14382" max="14382" width="3.5703125" style="262"/>
    <col min="14383" max="14383" width="5.5703125" style="262" bestFit="1" customWidth="1"/>
    <col min="14384" max="14595" width="3.5703125" style="262"/>
    <col min="14596" max="14596" width="11.42578125" style="262" customWidth="1"/>
    <col min="14597" max="14597" width="1.85546875" style="262" customWidth="1"/>
    <col min="14598" max="14601" width="5.42578125" style="262" customWidth="1"/>
    <col min="14602" max="14602" width="10.42578125" style="262" customWidth="1"/>
    <col min="14603" max="14603" width="7.85546875" style="262" customWidth="1"/>
    <col min="14604" max="14604" width="8.85546875" style="262" customWidth="1"/>
    <col min="14605" max="14605" width="8.42578125" style="262" customWidth="1"/>
    <col min="14606" max="14606" width="4.42578125" style="262" customWidth="1"/>
    <col min="14607" max="14608" width="4.140625" style="262" customWidth="1"/>
    <col min="14609" max="14609" width="6.85546875" style="262" customWidth="1"/>
    <col min="14610" max="14610" width="4.140625" style="262" customWidth="1"/>
    <col min="14611" max="14616" width="4.42578125" style="262" customWidth="1"/>
    <col min="14617" max="14617" width="7" style="262" customWidth="1"/>
    <col min="14618" max="14618" width="0" style="262" hidden="1" customWidth="1"/>
    <col min="14619" max="14622" width="3.5703125" style="262" customWidth="1"/>
    <col min="14623" max="14624" width="3.5703125" style="262"/>
    <col min="14625" max="14626" width="0" style="262" hidden="1" customWidth="1"/>
    <col min="14627" max="14633" width="3.5703125" style="262"/>
    <col min="14634" max="14634" width="5.5703125" style="262" bestFit="1" customWidth="1"/>
    <col min="14635" max="14636" width="3.5703125" style="262"/>
    <col min="14637" max="14637" width="6.5703125" style="262" bestFit="1" customWidth="1"/>
    <col min="14638" max="14638" width="3.5703125" style="262"/>
    <col min="14639" max="14639" width="5.5703125" style="262" bestFit="1" customWidth="1"/>
    <col min="14640" max="14851" width="3.5703125" style="262"/>
    <col min="14852" max="14852" width="11.42578125" style="262" customWidth="1"/>
    <col min="14853" max="14853" width="1.85546875" style="262" customWidth="1"/>
    <col min="14854" max="14857" width="5.42578125" style="262" customWidth="1"/>
    <col min="14858" max="14858" width="10.42578125" style="262" customWidth="1"/>
    <col min="14859" max="14859" width="7.85546875" style="262" customWidth="1"/>
    <col min="14860" max="14860" width="8.85546875" style="262" customWidth="1"/>
    <col min="14861" max="14861" width="8.42578125" style="262" customWidth="1"/>
    <col min="14862" max="14862" width="4.42578125" style="262" customWidth="1"/>
    <col min="14863" max="14864" width="4.140625" style="262" customWidth="1"/>
    <col min="14865" max="14865" width="6.85546875" style="262" customWidth="1"/>
    <col min="14866" max="14866" width="4.140625" style="262" customWidth="1"/>
    <col min="14867" max="14872" width="4.42578125" style="262" customWidth="1"/>
    <col min="14873" max="14873" width="7" style="262" customWidth="1"/>
    <col min="14874" max="14874" width="0" style="262" hidden="1" customWidth="1"/>
    <col min="14875" max="14878" width="3.5703125" style="262" customWidth="1"/>
    <col min="14879" max="14880" width="3.5703125" style="262"/>
    <col min="14881" max="14882" width="0" style="262" hidden="1" customWidth="1"/>
    <col min="14883" max="14889" width="3.5703125" style="262"/>
    <col min="14890" max="14890" width="5.5703125" style="262" bestFit="1" customWidth="1"/>
    <col min="14891" max="14892" width="3.5703125" style="262"/>
    <col min="14893" max="14893" width="6.5703125" style="262" bestFit="1" customWidth="1"/>
    <col min="14894" max="14894" width="3.5703125" style="262"/>
    <col min="14895" max="14895" width="5.5703125" style="262" bestFit="1" customWidth="1"/>
    <col min="14896" max="15107" width="3.5703125" style="262"/>
    <col min="15108" max="15108" width="11.42578125" style="262" customWidth="1"/>
    <col min="15109" max="15109" width="1.85546875" style="262" customWidth="1"/>
    <col min="15110" max="15113" width="5.42578125" style="262" customWidth="1"/>
    <col min="15114" max="15114" width="10.42578125" style="262" customWidth="1"/>
    <col min="15115" max="15115" width="7.85546875" style="262" customWidth="1"/>
    <col min="15116" max="15116" width="8.85546875" style="262" customWidth="1"/>
    <col min="15117" max="15117" width="8.42578125" style="262" customWidth="1"/>
    <col min="15118" max="15118" width="4.42578125" style="262" customWidth="1"/>
    <col min="15119" max="15120" width="4.140625" style="262" customWidth="1"/>
    <col min="15121" max="15121" width="6.85546875" style="262" customWidth="1"/>
    <col min="15122" max="15122" width="4.140625" style="262" customWidth="1"/>
    <col min="15123" max="15128" width="4.42578125" style="262" customWidth="1"/>
    <col min="15129" max="15129" width="7" style="262" customWidth="1"/>
    <col min="15130" max="15130" width="0" style="262" hidden="1" customWidth="1"/>
    <col min="15131" max="15134" width="3.5703125" style="262" customWidth="1"/>
    <col min="15135" max="15136" width="3.5703125" style="262"/>
    <col min="15137" max="15138" width="0" style="262" hidden="1" customWidth="1"/>
    <col min="15139" max="15145" width="3.5703125" style="262"/>
    <col min="15146" max="15146" width="5.5703125" style="262" bestFit="1" customWidth="1"/>
    <col min="15147" max="15148" width="3.5703125" style="262"/>
    <col min="15149" max="15149" width="6.5703125" style="262" bestFit="1" customWidth="1"/>
    <col min="15150" max="15150" width="3.5703125" style="262"/>
    <col min="15151" max="15151" width="5.5703125" style="262" bestFit="1" customWidth="1"/>
    <col min="15152" max="15363" width="3.5703125" style="262"/>
    <col min="15364" max="15364" width="11.42578125" style="262" customWidth="1"/>
    <col min="15365" max="15365" width="1.85546875" style="262" customWidth="1"/>
    <col min="15366" max="15369" width="5.42578125" style="262" customWidth="1"/>
    <col min="15370" max="15370" width="10.42578125" style="262" customWidth="1"/>
    <col min="15371" max="15371" width="7.85546875" style="262" customWidth="1"/>
    <col min="15372" max="15372" width="8.85546875" style="262" customWidth="1"/>
    <col min="15373" max="15373" width="8.42578125" style="262" customWidth="1"/>
    <col min="15374" max="15374" width="4.42578125" style="262" customWidth="1"/>
    <col min="15375" max="15376" width="4.140625" style="262" customWidth="1"/>
    <col min="15377" max="15377" width="6.85546875" style="262" customWidth="1"/>
    <col min="15378" max="15378" width="4.140625" style="262" customWidth="1"/>
    <col min="15379" max="15384" width="4.42578125" style="262" customWidth="1"/>
    <col min="15385" max="15385" width="7" style="262" customWidth="1"/>
    <col min="15386" max="15386" width="0" style="262" hidden="1" customWidth="1"/>
    <col min="15387" max="15390" width="3.5703125" style="262" customWidth="1"/>
    <col min="15391" max="15392" width="3.5703125" style="262"/>
    <col min="15393" max="15394" width="0" style="262" hidden="1" customWidth="1"/>
    <col min="15395" max="15401" width="3.5703125" style="262"/>
    <col min="15402" max="15402" width="5.5703125" style="262" bestFit="1" customWidth="1"/>
    <col min="15403" max="15404" width="3.5703125" style="262"/>
    <col min="15405" max="15405" width="6.5703125" style="262" bestFit="1" customWidth="1"/>
    <col min="15406" max="15406" width="3.5703125" style="262"/>
    <col min="15407" max="15407" width="5.5703125" style="262" bestFit="1" customWidth="1"/>
    <col min="15408" max="15619" width="3.5703125" style="262"/>
    <col min="15620" max="15620" width="11.42578125" style="262" customWidth="1"/>
    <col min="15621" max="15621" width="1.85546875" style="262" customWidth="1"/>
    <col min="15622" max="15625" width="5.42578125" style="262" customWidth="1"/>
    <col min="15626" max="15626" width="10.42578125" style="262" customWidth="1"/>
    <col min="15627" max="15627" width="7.85546875" style="262" customWidth="1"/>
    <col min="15628" max="15628" width="8.85546875" style="262" customWidth="1"/>
    <col min="15629" max="15629" width="8.42578125" style="262" customWidth="1"/>
    <col min="15630" max="15630" width="4.42578125" style="262" customWidth="1"/>
    <col min="15631" max="15632" width="4.140625" style="262" customWidth="1"/>
    <col min="15633" max="15633" width="6.85546875" style="262" customWidth="1"/>
    <col min="15634" max="15634" width="4.140625" style="262" customWidth="1"/>
    <col min="15635" max="15640" width="4.42578125" style="262" customWidth="1"/>
    <col min="15641" max="15641" width="7" style="262" customWidth="1"/>
    <col min="15642" max="15642" width="0" style="262" hidden="1" customWidth="1"/>
    <col min="15643" max="15646" width="3.5703125" style="262" customWidth="1"/>
    <col min="15647" max="15648" width="3.5703125" style="262"/>
    <col min="15649" max="15650" width="0" style="262" hidden="1" customWidth="1"/>
    <col min="15651" max="15657" width="3.5703125" style="262"/>
    <col min="15658" max="15658" width="5.5703125" style="262" bestFit="1" customWidth="1"/>
    <col min="15659" max="15660" width="3.5703125" style="262"/>
    <col min="15661" max="15661" width="6.5703125" style="262" bestFit="1" customWidth="1"/>
    <col min="15662" max="15662" width="3.5703125" style="262"/>
    <col min="15663" max="15663" width="5.5703125" style="262" bestFit="1" customWidth="1"/>
    <col min="15664" max="15875" width="3.5703125" style="262"/>
    <col min="15876" max="15876" width="11.42578125" style="262" customWidth="1"/>
    <col min="15877" max="15877" width="1.85546875" style="262" customWidth="1"/>
    <col min="15878" max="15881" width="5.42578125" style="262" customWidth="1"/>
    <col min="15882" max="15882" width="10.42578125" style="262" customWidth="1"/>
    <col min="15883" max="15883" width="7.85546875" style="262" customWidth="1"/>
    <col min="15884" max="15884" width="8.85546875" style="262" customWidth="1"/>
    <col min="15885" max="15885" width="8.42578125" style="262" customWidth="1"/>
    <col min="15886" max="15886" width="4.42578125" style="262" customWidth="1"/>
    <col min="15887" max="15888" width="4.140625" style="262" customWidth="1"/>
    <col min="15889" max="15889" width="6.85546875" style="262" customWidth="1"/>
    <col min="15890" max="15890" width="4.140625" style="262" customWidth="1"/>
    <col min="15891" max="15896" width="4.42578125" style="262" customWidth="1"/>
    <col min="15897" max="15897" width="7" style="262" customWidth="1"/>
    <col min="15898" max="15898" width="0" style="262" hidden="1" customWidth="1"/>
    <col min="15899" max="15902" width="3.5703125" style="262" customWidth="1"/>
    <col min="15903" max="15904" width="3.5703125" style="262"/>
    <col min="15905" max="15906" width="0" style="262" hidden="1" customWidth="1"/>
    <col min="15907" max="15913" width="3.5703125" style="262"/>
    <col min="15914" max="15914" width="5.5703125" style="262" bestFit="1" customWidth="1"/>
    <col min="15915" max="15916" width="3.5703125" style="262"/>
    <col min="15917" max="15917" width="6.5703125" style="262" bestFit="1" customWidth="1"/>
    <col min="15918" max="15918" width="3.5703125" style="262"/>
    <col min="15919" max="15919" width="5.5703125" style="262" bestFit="1" customWidth="1"/>
    <col min="15920" max="16131" width="3.5703125" style="262"/>
    <col min="16132" max="16132" width="11.42578125" style="262" customWidth="1"/>
    <col min="16133" max="16133" width="1.85546875" style="262" customWidth="1"/>
    <col min="16134" max="16137" width="5.42578125" style="262" customWidth="1"/>
    <col min="16138" max="16138" width="10.42578125" style="262" customWidth="1"/>
    <col min="16139" max="16139" width="7.85546875" style="262" customWidth="1"/>
    <col min="16140" max="16140" width="8.85546875" style="262" customWidth="1"/>
    <col min="16141" max="16141" width="8.42578125" style="262" customWidth="1"/>
    <col min="16142" max="16142" width="4.42578125" style="262" customWidth="1"/>
    <col min="16143" max="16144" width="4.140625" style="262" customWidth="1"/>
    <col min="16145" max="16145" width="6.85546875" style="262" customWidth="1"/>
    <col min="16146" max="16146" width="4.140625" style="262" customWidth="1"/>
    <col min="16147" max="16152" width="4.42578125" style="262" customWidth="1"/>
    <col min="16153" max="16153" width="7" style="262" customWidth="1"/>
    <col min="16154" max="16154" width="0" style="262" hidden="1" customWidth="1"/>
    <col min="16155" max="16158" width="3.5703125" style="262" customWidth="1"/>
    <col min="16159" max="16160" width="3.5703125" style="262"/>
    <col min="16161" max="16162" width="0" style="262" hidden="1" customWidth="1"/>
    <col min="16163" max="16169" width="3.5703125" style="262"/>
    <col min="16170" max="16170" width="5.5703125" style="262" bestFit="1" customWidth="1"/>
    <col min="16171" max="16172" width="3.5703125" style="262"/>
    <col min="16173" max="16173" width="6.5703125" style="262" bestFit="1" customWidth="1"/>
    <col min="16174" max="16174" width="3.5703125" style="262"/>
    <col min="16175" max="16175" width="5.5703125" style="262" bestFit="1" customWidth="1"/>
    <col min="16176" max="16384" width="3.5703125" style="262"/>
  </cols>
  <sheetData>
    <row r="1" spans="2:36" s="7" customFormat="1" ht="9.9499999999999993" customHeight="1" x14ac:dyDescent="0.25">
      <c r="B1" s="637" t="s">
        <v>299</v>
      </c>
      <c r="C1" s="639"/>
      <c r="D1" s="639"/>
      <c r="E1" s="639"/>
      <c r="F1" s="639"/>
      <c r="G1" s="639"/>
      <c r="H1" s="639"/>
      <c r="I1" s="639"/>
      <c r="J1" s="639"/>
      <c r="K1" s="639"/>
      <c r="L1" s="639"/>
      <c r="M1" s="639"/>
      <c r="N1" s="639"/>
      <c r="O1" s="639"/>
      <c r="P1" s="639"/>
      <c r="Q1" s="639"/>
      <c r="R1" s="639"/>
      <c r="S1" s="639"/>
      <c r="T1" s="639"/>
      <c r="U1" s="639"/>
      <c r="V1" s="639"/>
      <c r="W1" s="639"/>
      <c r="X1" s="639"/>
      <c r="Y1" s="639"/>
      <c r="AB1" s="263"/>
      <c r="AC1" s="263"/>
      <c r="AD1" s="263"/>
      <c r="AE1" s="263"/>
      <c r="AF1" s="263"/>
      <c r="AG1" s="263"/>
      <c r="AH1" s="263"/>
      <c r="AI1" s="263"/>
      <c r="AJ1" s="263"/>
    </row>
    <row r="2" spans="2:36" s="7" customFormat="1" ht="9.9499999999999993" customHeight="1" x14ac:dyDescent="0.25">
      <c r="B2" s="639"/>
      <c r="C2" s="639"/>
      <c r="D2" s="639"/>
      <c r="E2" s="639"/>
      <c r="F2" s="639"/>
      <c r="G2" s="639"/>
      <c r="H2" s="639"/>
      <c r="I2" s="639"/>
      <c r="J2" s="639"/>
      <c r="K2" s="639"/>
      <c r="L2" s="639"/>
      <c r="M2" s="639"/>
      <c r="N2" s="639"/>
      <c r="O2" s="639"/>
      <c r="P2" s="639"/>
      <c r="Q2" s="639"/>
      <c r="R2" s="639"/>
      <c r="S2" s="639"/>
      <c r="T2" s="639"/>
      <c r="U2" s="639"/>
      <c r="V2" s="639"/>
      <c r="W2" s="639"/>
      <c r="X2" s="639"/>
      <c r="Y2" s="639"/>
      <c r="AB2" s="263"/>
      <c r="AC2" s="263"/>
      <c r="AD2" s="263"/>
      <c r="AE2" s="263"/>
      <c r="AF2" s="263"/>
      <c r="AG2" s="263"/>
      <c r="AH2" s="263"/>
      <c r="AI2" s="263"/>
      <c r="AJ2" s="263"/>
    </row>
    <row r="3" spans="2:36" s="7" customFormat="1" ht="9.9499999999999993" customHeight="1" x14ac:dyDescent="0.25">
      <c r="B3" s="639"/>
      <c r="C3" s="639"/>
      <c r="D3" s="639"/>
      <c r="E3" s="639"/>
      <c r="F3" s="639"/>
      <c r="G3" s="639"/>
      <c r="H3" s="639"/>
      <c r="I3" s="639"/>
      <c r="J3" s="639"/>
      <c r="K3" s="639"/>
      <c r="L3" s="639"/>
      <c r="M3" s="639"/>
      <c r="N3" s="639"/>
      <c r="O3" s="639"/>
      <c r="P3" s="639"/>
      <c r="Q3" s="639"/>
      <c r="R3" s="639"/>
      <c r="S3" s="639"/>
      <c r="T3" s="639"/>
      <c r="U3" s="639"/>
      <c r="V3" s="639"/>
      <c r="W3" s="639"/>
      <c r="X3" s="639"/>
      <c r="Y3" s="639"/>
      <c r="AB3" s="263"/>
      <c r="AC3" s="263"/>
      <c r="AD3" s="263"/>
      <c r="AE3" s="263"/>
      <c r="AF3" s="263"/>
      <c r="AG3" s="263"/>
      <c r="AH3" s="263"/>
      <c r="AI3" s="263"/>
      <c r="AJ3" s="263"/>
    </row>
    <row r="4" spans="2:36" s="7" customFormat="1" ht="9.9499999999999993" customHeight="1" x14ac:dyDescent="0.25">
      <c r="B4" s="639"/>
      <c r="C4" s="639"/>
      <c r="D4" s="639"/>
      <c r="E4" s="639"/>
      <c r="F4" s="639"/>
      <c r="G4" s="639"/>
      <c r="H4" s="639"/>
      <c r="I4" s="639"/>
      <c r="J4" s="639"/>
      <c r="K4" s="639"/>
      <c r="L4" s="639"/>
      <c r="M4" s="639"/>
      <c r="N4" s="639"/>
      <c r="O4" s="639"/>
      <c r="P4" s="639"/>
      <c r="Q4" s="639"/>
      <c r="R4" s="639"/>
      <c r="S4" s="639"/>
      <c r="T4" s="639"/>
      <c r="U4" s="639"/>
      <c r="V4" s="639"/>
      <c r="W4" s="639"/>
      <c r="X4" s="639"/>
      <c r="Y4" s="639"/>
      <c r="AB4" s="263"/>
      <c r="AC4" s="263"/>
      <c r="AD4" s="263"/>
      <c r="AE4" s="263"/>
      <c r="AF4" s="263"/>
      <c r="AG4" s="263"/>
      <c r="AH4" s="263"/>
      <c r="AI4" s="263"/>
      <c r="AJ4" s="263"/>
    </row>
    <row r="5" spans="2:36" s="7" customFormat="1" ht="9.9499999999999993" customHeight="1" x14ac:dyDescent="0.25">
      <c r="B5" s="639"/>
      <c r="C5" s="639"/>
      <c r="D5" s="639"/>
      <c r="E5" s="639"/>
      <c r="F5" s="639"/>
      <c r="G5" s="639"/>
      <c r="H5" s="639"/>
      <c r="I5" s="639"/>
      <c r="J5" s="639"/>
      <c r="K5" s="639"/>
      <c r="L5" s="639"/>
      <c r="M5" s="639"/>
      <c r="N5" s="639"/>
      <c r="O5" s="639"/>
      <c r="P5" s="639"/>
      <c r="Q5" s="639"/>
      <c r="R5" s="639"/>
      <c r="S5" s="639"/>
      <c r="T5" s="639"/>
      <c r="U5" s="639"/>
      <c r="V5" s="639"/>
      <c r="W5" s="639"/>
      <c r="X5" s="639"/>
      <c r="Y5" s="639"/>
      <c r="AB5" s="263"/>
      <c r="AC5" s="263"/>
      <c r="AD5" s="263"/>
      <c r="AE5" s="263"/>
      <c r="AF5" s="263"/>
      <c r="AG5" s="263"/>
      <c r="AH5" s="263"/>
      <c r="AI5" s="263"/>
      <c r="AJ5" s="263"/>
    </row>
    <row r="6" spans="2:36" s="7" customFormat="1" ht="9.9499999999999993" customHeight="1" x14ac:dyDescent="0.25">
      <c r="B6" s="639"/>
      <c r="C6" s="639"/>
      <c r="D6" s="639"/>
      <c r="E6" s="639"/>
      <c r="F6" s="639"/>
      <c r="G6" s="639"/>
      <c r="H6" s="639"/>
      <c r="I6" s="639"/>
      <c r="J6" s="639"/>
      <c r="K6" s="639"/>
      <c r="L6" s="639"/>
      <c r="M6" s="639"/>
      <c r="N6" s="639"/>
      <c r="O6" s="639"/>
      <c r="P6" s="639"/>
      <c r="Q6" s="639"/>
      <c r="R6" s="639"/>
      <c r="S6" s="639"/>
      <c r="T6" s="639"/>
      <c r="U6" s="639"/>
      <c r="V6" s="639"/>
      <c r="W6" s="639"/>
      <c r="X6" s="639"/>
      <c r="Y6" s="639"/>
      <c r="AB6" s="263"/>
      <c r="AC6" s="263"/>
      <c r="AD6" s="263"/>
      <c r="AE6" s="263"/>
      <c r="AF6" s="263"/>
      <c r="AG6" s="263"/>
      <c r="AH6" s="263"/>
      <c r="AI6" s="263"/>
      <c r="AJ6" s="263"/>
    </row>
    <row r="7" spans="2:36" s="7" customFormat="1" ht="15" x14ac:dyDescent="0.25">
      <c r="AB7" s="263"/>
      <c r="AC7" s="263"/>
      <c r="AD7" s="263"/>
      <c r="AE7" s="263"/>
      <c r="AF7" s="263"/>
      <c r="AG7" s="263"/>
      <c r="AH7" s="263"/>
      <c r="AI7" s="263"/>
      <c r="AJ7" s="263"/>
    </row>
    <row r="8" spans="2:36" s="261" customFormat="1" ht="15" customHeight="1" x14ac:dyDescent="0.25">
      <c r="B8" s="8" t="s">
        <v>49</v>
      </c>
      <c r="D8" s="13" t="str">
        <f>'DADOS DA OBRA'!$B$13</f>
        <v>TRIBUNAL REGIONAL ELEITORAL - PIAUÍ</v>
      </c>
      <c r="F8" s="9"/>
      <c r="G8" s="9"/>
      <c r="H8" s="9"/>
      <c r="I8" s="9"/>
      <c r="J8" s="9"/>
      <c r="K8" s="9"/>
      <c r="X8" s="10" t="s">
        <v>50</v>
      </c>
      <c r="Y8" s="11" t="str">
        <f>+'CURVA ABC - SERVIÇOS'!G8</f>
        <v>22/11/2021</v>
      </c>
      <c r="AB8" s="264"/>
      <c r="AC8" s="264"/>
      <c r="AD8" s="264"/>
      <c r="AE8" s="264"/>
      <c r="AF8" s="264"/>
      <c r="AG8" s="264"/>
      <c r="AH8" s="264"/>
      <c r="AI8" s="264"/>
      <c r="AJ8" s="264"/>
    </row>
    <row r="9" spans="2:36" s="261" customFormat="1" ht="15" customHeight="1" x14ac:dyDescent="0.25">
      <c r="B9" s="8" t="s">
        <v>68</v>
      </c>
      <c r="D9" s="13" t="str">
        <f>'DADOS DA OBRA'!$B$16</f>
        <v>SUBSTITUIÇÃO DE INSTALAÇÕES ELÉTRICAS E CABEAMENTO ESTRUTURADO - EDIFÍCIO ANEXO</v>
      </c>
      <c r="F9" s="12"/>
      <c r="G9" s="12"/>
      <c r="H9" s="12"/>
      <c r="I9" s="12"/>
      <c r="J9" s="12"/>
      <c r="K9" s="12"/>
      <c r="X9" s="10" t="s">
        <v>51</v>
      </c>
      <c r="Y9" s="11">
        <f>+'CURVA ABC - SERVIÇOS'!G9</f>
        <v>44733</v>
      </c>
      <c r="AB9" s="264"/>
      <c r="AC9" s="264"/>
      <c r="AD9" s="264"/>
      <c r="AE9" s="264"/>
      <c r="AF9" s="264"/>
      <c r="AG9" s="264"/>
      <c r="AH9" s="264"/>
      <c r="AI9" s="264"/>
      <c r="AJ9" s="264"/>
    </row>
    <row r="10" spans="2:36" s="261" customFormat="1" ht="15" customHeight="1" x14ac:dyDescent="0.25">
      <c r="B10" s="8" t="s">
        <v>52</v>
      </c>
      <c r="D10" s="13" t="str">
        <f>+""&amp;'DADOS DA OBRA'!$B$19&amp;", "&amp;'DADOS DA OBRA'!$J$22&amp;", "&amp;'DADOS DA OBRA'!$P$22</f>
        <v>PRAÇA EDGAR NOGUEIRA, TERESINA, PI</v>
      </c>
      <c r="F10" s="12"/>
      <c r="G10" s="12"/>
      <c r="H10" s="12"/>
      <c r="I10" s="12"/>
      <c r="J10" s="12"/>
      <c r="K10" s="12"/>
      <c r="X10" s="10" t="s">
        <v>70</v>
      </c>
      <c r="Y10" s="294">
        <f>+'CURVA ABC - SERVIÇOS'!J8</f>
        <v>1.1186</v>
      </c>
      <c r="AB10" s="264"/>
      <c r="AC10" s="264"/>
      <c r="AD10" s="264"/>
      <c r="AE10" s="264"/>
      <c r="AF10" s="264"/>
      <c r="AG10" s="264"/>
      <c r="AH10" s="264"/>
      <c r="AI10" s="264"/>
      <c r="AJ10" s="264"/>
    </row>
    <row r="11" spans="2:36" ht="65.25" customHeight="1" x14ac:dyDescent="0.25">
      <c r="B11" s="8" t="s">
        <v>69</v>
      </c>
      <c r="D11" s="522" t="str">
        <f>+'DADOS DA OBRA'!$B$31</f>
        <v>SINAPI - 04/2022 - PIAUÍ 	 SBC - 05/2022 - TSA - Teresina - PI ORSE - 03/2022 - SERGIPE 	 SETOP - 03/2022 - Minas Gerais - Central SUDECAP - 02/2022 - MINAS GERAIS 	 CPOS - 02/2022 - São Paulo AGESUL - 01/2022 - MATO GROSSO DO SUL 	 AGETOP CIVIL - 04/2022 - Goiás EMOP - 04/2022 - RIO DE JANEIRO</v>
      </c>
      <c r="E11" s="522"/>
      <c r="F11" s="522"/>
      <c r="G11" s="522"/>
      <c r="H11" s="522"/>
      <c r="I11" s="522"/>
      <c r="J11" s="522"/>
      <c r="K11" s="522"/>
      <c r="L11" s="522"/>
      <c r="M11" s="522"/>
      <c r="N11" s="522"/>
      <c r="O11" s="522"/>
      <c r="P11" s="522"/>
      <c r="Q11" s="522"/>
      <c r="R11" s="522"/>
      <c r="X11" s="10" t="s">
        <v>71</v>
      </c>
      <c r="Y11" s="294">
        <f>+'CURVA ABC - SERVIÇOS'!J9</f>
        <v>0.70630000000000004</v>
      </c>
      <c r="Z11" s="262"/>
    </row>
    <row r="12" spans="2:36" s="1" customFormat="1" ht="6.95" customHeight="1" x14ac:dyDescent="0.25">
      <c r="I12" s="2"/>
      <c r="J12" s="3"/>
      <c r="K12" s="3"/>
      <c r="L12" s="4"/>
      <c r="M12" s="5"/>
      <c r="N12" s="6"/>
      <c r="AB12" s="266"/>
      <c r="AC12" s="266"/>
      <c r="AD12" s="266"/>
      <c r="AE12" s="266"/>
      <c r="AF12" s="266"/>
      <c r="AG12" s="266"/>
      <c r="AH12" s="266"/>
      <c r="AI12" s="266"/>
      <c r="AJ12" s="266"/>
    </row>
    <row r="13" spans="2:36" ht="20.100000000000001" customHeight="1" x14ac:dyDescent="0.25">
      <c r="B13" s="624"/>
      <c r="C13" s="624"/>
      <c r="D13" s="624"/>
      <c r="E13" s="624"/>
      <c r="F13" s="624"/>
      <c r="G13" s="638"/>
      <c r="H13" s="638"/>
      <c r="I13" s="638"/>
      <c r="J13" s="638"/>
      <c r="K13" s="638"/>
      <c r="L13" s="638"/>
      <c r="M13" s="638"/>
      <c r="N13" s="638"/>
      <c r="O13" s="638"/>
      <c r="P13" s="638"/>
      <c r="Q13" s="638"/>
      <c r="R13" s="638"/>
      <c r="S13" s="638"/>
      <c r="T13" s="638"/>
      <c r="U13" s="638"/>
      <c r="V13" s="638"/>
      <c r="W13" s="638"/>
      <c r="X13" s="638"/>
      <c r="Y13" s="638"/>
      <c r="AB13" s="254"/>
      <c r="AC13" s="254"/>
      <c r="AD13" s="254"/>
      <c r="AE13" s="254"/>
    </row>
    <row r="14" spans="2:36" ht="20.100000000000001" customHeight="1" x14ac:dyDescent="0.25">
      <c r="B14" s="624" t="s">
        <v>38</v>
      </c>
      <c r="C14" s="624"/>
      <c r="D14" s="624"/>
      <c r="E14" s="624"/>
      <c r="F14" s="624"/>
      <c r="G14" s="626" t="s">
        <v>770</v>
      </c>
      <c r="H14" s="626"/>
      <c r="I14" s="626"/>
      <c r="J14" s="626"/>
      <c r="K14" s="626"/>
      <c r="L14" s="626"/>
      <c r="M14" s="626"/>
      <c r="N14" s="626"/>
      <c r="O14" s="626"/>
      <c r="P14" s="626"/>
      <c r="Q14" s="626"/>
      <c r="R14" s="626"/>
      <c r="S14" s="626"/>
      <c r="T14" s="626"/>
      <c r="U14" s="626"/>
      <c r="V14" s="626"/>
      <c r="W14" s="626"/>
      <c r="X14" s="626"/>
      <c r="Y14" s="626"/>
      <c r="AB14" s="254"/>
      <c r="AC14" s="254"/>
      <c r="AD14" s="254"/>
      <c r="AE14" s="254"/>
    </row>
    <row r="15" spans="2:36" ht="20.100000000000001" customHeight="1" x14ac:dyDescent="0.25">
      <c r="B15" s="624" t="s">
        <v>39</v>
      </c>
      <c r="C15" s="624"/>
      <c r="D15" s="624"/>
      <c r="E15" s="624"/>
      <c r="F15" s="624"/>
      <c r="G15" s="626" t="s">
        <v>80</v>
      </c>
      <c r="H15" s="626"/>
      <c r="I15" s="626"/>
      <c r="J15" s="626"/>
      <c r="K15" s="626"/>
      <c r="L15" s="626"/>
      <c r="M15" s="626"/>
      <c r="N15" s="626"/>
      <c r="O15" s="626"/>
      <c r="P15" s="626"/>
      <c r="Q15" s="626"/>
      <c r="R15" s="626"/>
      <c r="S15" s="626"/>
      <c r="T15" s="626"/>
      <c r="U15" s="626"/>
      <c r="V15" s="626"/>
      <c r="W15" s="626"/>
      <c r="X15" s="626"/>
      <c r="Y15" s="626"/>
      <c r="AB15" s="254"/>
      <c r="AC15" s="254"/>
      <c r="AD15" s="254"/>
      <c r="AE15" s="254"/>
    </row>
    <row r="16" spans="2:36" ht="20.100000000000001" customHeight="1" x14ac:dyDescent="0.25">
      <c r="B16" s="624" t="s">
        <v>81</v>
      </c>
      <c r="C16" s="624"/>
      <c r="D16" s="624"/>
      <c r="E16" s="624"/>
      <c r="F16" s="624"/>
      <c r="G16" s="625">
        <v>0.6</v>
      </c>
      <c r="H16" s="625"/>
      <c r="I16" s="625"/>
      <c r="J16" s="56" t="s">
        <v>86</v>
      </c>
      <c r="K16" s="55">
        <v>0.03</v>
      </c>
      <c r="L16" s="55"/>
      <c r="M16" s="55"/>
      <c r="N16" s="55"/>
      <c r="O16" s="55"/>
      <c r="P16" s="55"/>
      <c r="Q16" s="55"/>
      <c r="R16" s="55"/>
      <c r="S16" s="55"/>
      <c r="T16" s="55"/>
      <c r="U16" s="55"/>
      <c r="V16" s="55"/>
      <c r="W16" s="55"/>
      <c r="X16" s="55"/>
      <c r="Y16" s="55"/>
      <c r="AB16" s="254"/>
      <c r="AC16" s="254"/>
      <c r="AD16" s="254"/>
      <c r="AE16" s="254"/>
    </row>
    <row r="17" spans="1:47" ht="20.100000000000001" customHeight="1" x14ac:dyDescent="0.25">
      <c r="B17" s="267"/>
      <c r="C17" s="267"/>
      <c r="D17" s="267"/>
      <c r="E17" s="267"/>
      <c r="F17" s="267"/>
      <c r="G17" s="267"/>
      <c r="H17" s="267"/>
      <c r="I17" s="267"/>
      <c r="J17" s="267"/>
      <c r="K17" s="267"/>
      <c r="L17" s="267"/>
      <c r="M17" s="267"/>
      <c r="N17" s="267"/>
      <c r="O17" s="267"/>
      <c r="P17" s="267"/>
      <c r="Q17" s="267"/>
      <c r="R17" s="267"/>
      <c r="S17" s="267"/>
      <c r="T17" s="267"/>
      <c r="U17" s="267"/>
      <c r="V17" s="267"/>
      <c r="W17" s="267"/>
      <c r="X17" s="267"/>
      <c r="Y17" s="267"/>
    </row>
    <row r="18" spans="1:47" ht="20.100000000000001" customHeight="1" x14ac:dyDescent="0.25">
      <c r="B18" s="267"/>
      <c r="C18" s="267"/>
      <c r="D18" s="267"/>
      <c r="E18" s="267"/>
      <c r="F18" s="267"/>
      <c r="G18" s="267"/>
      <c r="H18" s="267"/>
      <c r="I18" s="267"/>
      <c r="J18" s="267"/>
      <c r="K18" s="267"/>
      <c r="L18" s="267"/>
      <c r="M18" s="267"/>
      <c r="N18" s="267"/>
      <c r="O18" s="267"/>
      <c r="P18" s="267"/>
      <c r="Q18" s="267"/>
      <c r="R18" s="267"/>
      <c r="S18" s="267"/>
      <c r="T18" s="267"/>
      <c r="U18" s="267"/>
      <c r="V18" s="267"/>
      <c r="W18" s="267"/>
      <c r="X18" s="267"/>
      <c r="Y18" s="267"/>
    </row>
    <row r="19" spans="1:47" ht="20.100000000000001" customHeight="1" thickBot="1" x14ac:dyDescent="0.3">
      <c r="B19" s="267"/>
      <c r="C19" s="267"/>
      <c r="D19" s="267"/>
      <c r="E19" s="267"/>
      <c r="F19" s="267"/>
      <c r="G19" s="267"/>
      <c r="H19" s="267"/>
      <c r="I19" s="267"/>
      <c r="J19" s="267"/>
      <c r="K19" s="267"/>
      <c r="L19" s="267"/>
      <c r="M19" s="267"/>
      <c r="N19" s="267"/>
      <c r="O19" s="267"/>
      <c r="P19" s="267"/>
      <c r="Q19" s="267"/>
      <c r="R19" s="267"/>
      <c r="S19" s="267"/>
      <c r="T19" s="267"/>
      <c r="U19" s="267"/>
      <c r="V19" s="267"/>
      <c r="W19" s="267"/>
      <c r="X19" s="267"/>
      <c r="Y19" s="267"/>
    </row>
    <row r="20" spans="1:47" ht="24.75" customHeight="1" x14ac:dyDescent="0.25">
      <c r="B20" s="12"/>
      <c r="C20" s="12"/>
      <c r="D20" s="12"/>
      <c r="E20" s="627" t="s">
        <v>82</v>
      </c>
      <c r="F20" s="628"/>
      <c r="G20" s="628"/>
      <c r="H20" s="628"/>
      <c r="I20" s="631" t="s">
        <v>40</v>
      </c>
      <c r="J20" s="631"/>
      <c r="K20" s="631"/>
      <c r="L20" s="632"/>
      <c r="O20" s="268"/>
      <c r="P20" s="620" t="s">
        <v>293</v>
      </c>
      <c r="Q20" s="621"/>
      <c r="R20" s="621"/>
      <c r="S20" s="621"/>
      <c r="T20" s="621"/>
      <c r="U20" s="621"/>
      <c r="V20" s="622"/>
      <c r="W20" s="268"/>
      <c r="X20" s="268"/>
      <c r="Y20" s="268"/>
      <c r="AA20" s="269"/>
      <c r="AB20" s="270"/>
      <c r="AC20" s="270"/>
      <c r="AD20" s="270"/>
      <c r="AM20" s="269"/>
      <c r="AN20" s="269"/>
      <c r="AO20" s="269"/>
      <c r="AP20" s="269"/>
      <c r="AQ20" s="269"/>
      <c r="AR20" s="269"/>
      <c r="AS20" s="269"/>
      <c r="AT20" s="269"/>
      <c r="AU20" s="269"/>
    </row>
    <row r="21" spans="1:47" ht="20.100000000000001" customHeight="1" thickBot="1" x14ac:dyDescent="0.3">
      <c r="B21" s="12"/>
      <c r="C21" s="12"/>
      <c r="D21" s="12"/>
      <c r="E21" s="629"/>
      <c r="F21" s="630"/>
      <c r="G21" s="630"/>
      <c r="H21" s="630"/>
      <c r="I21" s="633"/>
      <c r="J21" s="633"/>
      <c r="K21" s="633"/>
      <c r="L21" s="634"/>
      <c r="O21" s="53"/>
      <c r="P21" s="271" t="s">
        <v>294</v>
      </c>
      <c r="Q21" s="53"/>
      <c r="R21" s="53"/>
      <c r="S21" s="53" t="s">
        <v>295</v>
      </c>
      <c r="T21" s="53"/>
      <c r="U21" s="53"/>
      <c r="V21" s="272" t="s">
        <v>296</v>
      </c>
      <c r="W21" s="53"/>
      <c r="X21" s="53"/>
      <c r="Y21" s="53"/>
      <c r="AC21" s="254"/>
      <c r="AD21" s="254"/>
    </row>
    <row r="22" spans="1:47" ht="20.100000000000001" customHeight="1" x14ac:dyDescent="0.25">
      <c r="B22" s="12"/>
      <c r="C22" s="12"/>
      <c r="D22" s="12"/>
      <c r="E22" s="273" t="s">
        <v>72</v>
      </c>
      <c r="F22" s="274"/>
      <c r="G22" s="274"/>
      <c r="H22" s="274"/>
      <c r="I22" s="635">
        <v>4</v>
      </c>
      <c r="J22" s="635"/>
      <c r="K22" s="635"/>
      <c r="L22" s="636"/>
      <c r="O22" s="53"/>
      <c r="P22" s="271">
        <v>3</v>
      </c>
      <c r="Q22" s="53"/>
      <c r="R22" s="53"/>
      <c r="S22" s="53">
        <v>4</v>
      </c>
      <c r="T22" s="53"/>
      <c r="U22" s="53"/>
      <c r="V22" s="272">
        <v>5.5</v>
      </c>
      <c r="W22" s="53"/>
      <c r="X22" s="53"/>
      <c r="Y22" s="53"/>
      <c r="AC22" s="254"/>
      <c r="AD22" s="254"/>
    </row>
    <row r="23" spans="1:47" ht="20.100000000000001" customHeight="1" x14ac:dyDescent="0.25">
      <c r="B23" s="12"/>
      <c r="C23" s="12"/>
      <c r="D23" s="12"/>
      <c r="E23" s="273" t="s">
        <v>73</v>
      </c>
      <c r="F23" s="274"/>
      <c r="G23" s="274"/>
      <c r="H23" s="274"/>
      <c r="I23" s="616">
        <v>0.8</v>
      </c>
      <c r="J23" s="616"/>
      <c r="K23" s="616"/>
      <c r="L23" s="617"/>
      <c r="O23" s="53"/>
      <c r="P23" s="271">
        <v>0.8</v>
      </c>
      <c r="Q23" s="53"/>
      <c r="R23" s="53"/>
      <c r="S23" s="53">
        <v>0.8</v>
      </c>
      <c r="T23" s="53"/>
      <c r="U23" s="53"/>
      <c r="V23" s="272">
        <v>1</v>
      </c>
      <c r="W23" s="53"/>
      <c r="X23" s="53"/>
      <c r="Y23" s="53"/>
      <c r="AC23" s="254"/>
      <c r="AD23" s="254"/>
    </row>
    <row r="24" spans="1:47" ht="20.100000000000001" customHeight="1" x14ac:dyDescent="0.25">
      <c r="B24" s="12"/>
      <c r="C24" s="12"/>
      <c r="D24" s="12"/>
      <c r="E24" s="273" t="s">
        <v>74</v>
      </c>
      <c r="F24" s="274"/>
      <c r="G24" s="274"/>
      <c r="H24" s="274"/>
      <c r="I24" s="616">
        <v>1.27</v>
      </c>
      <c r="J24" s="616"/>
      <c r="K24" s="616"/>
      <c r="L24" s="617"/>
      <c r="O24" s="53"/>
      <c r="P24" s="271">
        <v>0.97</v>
      </c>
      <c r="Q24" s="53"/>
      <c r="R24" s="53"/>
      <c r="S24" s="53">
        <v>1.27</v>
      </c>
      <c r="T24" s="53"/>
      <c r="U24" s="53"/>
      <c r="V24" s="272">
        <v>1.27</v>
      </c>
      <c r="W24" s="53"/>
      <c r="X24" s="53"/>
      <c r="Y24" s="53"/>
      <c r="AC24" s="254"/>
      <c r="AD24" s="254"/>
    </row>
    <row r="25" spans="1:47" ht="20.100000000000001" customHeight="1" x14ac:dyDescent="0.25">
      <c r="B25" s="12"/>
      <c r="C25" s="12"/>
      <c r="D25" s="12"/>
      <c r="E25" s="273" t="s">
        <v>75</v>
      </c>
      <c r="F25" s="274"/>
      <c r="G25" s="274"/>
      <c r="H25" s="274"/>
      <c r="I25" s="616">
        <v>1.23</v>
      </c>
      <c r="J25" s="616"/>
      <c r="K25" s="616"/>
      <c r="L25" s="617"/>
      <c r="O25" s="53"/>
      <c r="P25" s="271">
        <v>0.59</v>
      </c>
      <c r="Q25" s="53"/>
      <c r="R25" s="53"/>
      <c r="S25" s="53">
        <v>1.23</v>
      </c>
      <c r="T25" s="53"/>
      <c r="U25" s="53"/>
      <c r="V25" s="272">
        <v>1.39</v>
      </c>
      <c r="W25" s="53"/>
      <c r="X25" s="53"/>
      <c r="Y25" s="53"/>
      <c r="AC25" s="254"/>
      <c r="AD25" s="254"/>
    </row>
    <row r="26" spans="1:47" ht="20.100000000000001" customHeight="1" x14ac:dyDescent="0.25">
      <c r="B26" s="12"/>
      <c r="C26" s="12"/>
      <c r="D26" s="12"/>
      <c r="E26" s="273" t="s">
        <v>76</v>
      </c>
      <c r="F26" s="274"/>
      <c r="G26" s="274"/>
      <c r="H26" s="274"/>
      <c r="I26" s="616">
        <v>7.4</v>
      </c>
      <c r="J26" s="616"/>
      <c r="K26" s="616"/>
      <c r="L26" s="617"/>
      <c r="O26" s="53"/>
      <c r="P26" s="271">
        <v>6.16</v>
      </c>
      <c r="Q26" s="53"/>
      <c r="R26" s="53"/>
      <c r="S26" s="53">
        <v>7.4</v>
      </c>
      <c r="T26" s="53"/>
      <c r="U26" s="53"/>
      <c r="V26" s="272">
        <v>8.9600000000000009</v>
      </c>
      <c r="W26" s="53"/>
      <c r="X26" s="53"/>
      <c r="Y26" s="53"/>
      <c r="Z26" s="296"/>
      <c r="AA26" s="297"/>
      <c r="AB26" s="275"/>
      <c r="AC26" s="254"/>
      <c r="AD26" s="254"/>
    </row>
    <row r="27" spans="1:47" ht="20.100000000000001" customHeight="1" x14ac:dyDescent="0.25">
      <c r="B27" s="12"/>
      <c r="C27" s="12"/>
      <c r="D27" s="12"/>
      <c r="E27" s="273" t="s">
        <v>77</v>
      </c>
      <c r="F27" s="274"/>
      <c r="G27" s="274"/>
      <c r="H27" s="274"/>
      <c r="I27" s="616">
        <v>0.65</v>
      </c>
      <c r="J27" s="616"/>
      <c r="K27" s="616"/>
      <c r="L27" s="617"/>
      <c r="O27" s="53"/>
      <c r="P27" s="271">
        <v>0.65</v>
      </c>
      <c r="Q27" s="53"/>
      <c r="R27" s="53"/>
      <c r="S27" s="53">
        <v>0.65</v>
      </c>
      <c r="T27" s="53"/>
      <c r="U27" s="53"/>
      <c r="V27" s="272">
        <v>0.65</v>
      </c>
      <c r="W27" s="53"/>
      <c r="X27" s="53"/>
      <c r="Y27" s="53"/>
      <c r="AC27" s="254"/>
      <c r="AD27" s="254"/>
    </row>
    <row r="28" spans="1:47" ht="20.100000000000001" customHeight="1" x14ac:dyDescent="0.25">
      <c r="B28" s="12"/>
      <c r="C28" s="12"/>
      <c r="D28" s="12"/>
      <c r="E28" s="273" t="s">
        <v>78</v>
      </c>
      <c r="F28" s="274"/>
      <c r="G28" s="274"/>
      <c r="H28" s="274"/>
      <c r="I28" s="616">
        <v>3</v>
      </c>
      <c r="J28" s="616"/>
      <c r="K28" s="616"/>
      <c r="L28" s="617"/>
      <c r="O28" s="53"/>
      <c r="P28" s="271">
        <v>3</v>
      </c>
      <c r="Q28" s="53"/>
      <c r="R28" s="53"/>
      <c r="S28" s="53">
        <v>3</v>
      </c>
      <c r="T28" s="53"/>
      <c r="U28" s="53"/>
      <c r="V28" s="272">
        <v>3</v>
      </c>
      <c r="W28" s="53"/>
      <c r="X28" s="53"/>
      <c r="Y28" s="53"/>
      <c r="AC28" s="254"/>
      <c r="AD28" s="254"/>
    </row>
    <row r="29" spans="1:47" ht="20.100000000000001" customHeight="1" thickBot="1" x14ac:dyDescent="0.3">
      <c r="B29" s="12"/>
      <c r="C29" s="12"/>
      <c r="D29" s="12"/>
      <c r="E29" s="273" t="s">
        <v>79</v>
      </c>
      <c r="F29" s="274"/>
      <c r="G29" s="274"/>
      <c r="H29" s="274"/>
      <c r="I29" s="616">
        <v>1.8</v>
      </c>
      <c r="J29" s="616"/>
      <c r="K29" s="616"/>
      <c r="L29" s="617"/>
      <c r="O29" s="53"/>
      <c r="P29" s="276">
        <v>2</v>
      </c>
      <c r="Q29" s="277"/>
      <c r="R29" s="277"/>
      <c r="S29" s="277">
        <v>2</v>
      </c>
      <c r="T29" s="277"/>
      <c r="U29" s="277"/>
      <c r="V29" s="278">
        <v>5</v>
      </c>
      <c r="W29" s="53"/>
      <c r="X29" s="53"/>
      <c r="Y29" s="53"/>
      <c r="AC29" s="254"/>
      <c r="AD29" s="254"/>
    </row>
    <row r="30" spans="1:47" ht="20.100000000000001" customHeight="1" thickBot="1" x14ac:dyDescent="0.3">
      <c r="B30" s="12"/>
      <c r="C30" s="12"/>
      <c r="D30" s="12"/>
      <c r="E30" s="273" t="s">
        <v>83</v>
      </c>
      <c r="F30" s="274"/>
      <c r="G30" s="274"/>
      <c r="H30" s="274"/>
      <c r="I30" s="616">
        <v>4.5</v>
      </c>
      <c r="J30" s="616"/>
      <c r="K30" s="616"/>
      <c r="L30" s="617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AB30" s="279"/>
      <c r="AC30" s="254"/>
      <c r="AD30" s="254"/>
      <c r="AE30" s="254"/>
      <c r="AF30" s="254"/>
      <c r="AG30" s="254"/>
      <c r="AH30" s="254"/>
      <c r="AI30" s="254"/>
      <c r="AJ30" s="254"/>
    </row>
    <row r="31" spans="1:47" ht="25.5" customHeight="1" thickBot="1" x14ac:dyDescent="0.3">
      <c r="A31" s="54"/>
      <c r="B31" s="292"/>
      <c r="C31" s="280"/>
      <c r="D31" s="281"/>
      <c r="E31" s="282" t="s">
        <v>41</v>
      </c>
      <c r="F31" s="283"/>
      <c r="G31" s="283"/>
      <c r="H31" s="283"/>
      <c r="I31" s="618">
        <f>TRUNC((((((1+I22/100+I23/100+I24/100)*(1+I25/100)*(1+I26/100))/(1-(I27/100+I28/100+I29/100+I30/100)))-1)*100),2)</f>
        <v>28.06</v>
      </c>
      <c r="J31" s="618"/>
      <c r="K31" s="618"/>
      <c r="L31" s="619"/>
      <c r="M31" s="284"/>
      <c r="N31" s="284"/>
      <c r="O31" s="284"/>
      <c r="P31" s="620" t="s">
        <v>297</v>
      </c>
      <c r="Q31" s="621"/>
      <c r="R31" s="621"/>
      <c r="S31" s="621"/>
      <c r="T31" s="621"/>
      <c r="U31" s="621"/>
      <c r="V31" s="622"/>
      <c r="W31" s="284"/>
      <c r="X31" s="284"/>
      <c r="Y31" s="12"/>
      <c r="Z31" s="54"/>
      <c r="AB31" s="285"/>
      <c r="AC31" s="285"/>
      <c r="AD31" s="285"/>
      <c r="AE31" s="285"/>
      <c r="AF31" s="285"/>
      <c r="AG31" s="285"/>
      <c r="AH31" s="285"/>
      <c r="AI31" s="285"/>
      <c r="AJ31" s="285"/>
    </row>
    <row r="32" spans="1:47" ht="20.100000000000001" customHeight="1" thickBot="1" x14ac:dyDescent="0.3">
      <c r="A32" s="54"/>
      <c r="B32" s="292"/>
      <c r="C32" s="280"/>
      <c r="D32" s="281"/>
      <c r="E32" s="281"/>
      <c r="F32" s="281"/>
      <c r="G32" s="281"/>
      <c r="H32" s="281"/>
      <c r="I32" s="281"/>
      <c r="J32" s="281"/>
      <c r="K32" s="284"/>
      <c r="L32" s="284"/>
      <c r="M32" s="284"/>
      <c r="N32" s="284"/>
      <c r="O32" s="284"/>
      <c r="P32" s="276">
        <v>20.34</v>
      </c>
      <c r="Q32" s="277"/>
      <c r="R32" s="277"/>
      <c r="S32" s="277">
        <v>22.12</v>
      </c>
      <c r="T32" s="277"/>
      <c r="U32" s="277"/>
      <c r="V32" s="278">
        <v>25</v>
      </c>
      <c r="W32" s="284"/>
      <c r="X32" s="284"/>
      <c r="Y32" s="12"/>
      <c r="Z32" s="54"/>
      <c r="AB32" s="285"/>
      <c r="AC32" s="285"/>
      <c r="AD32" s="285"/>
      <c r="AE32" s="285"/>
      <c r="AF32" s="285"/>
      <c r="AG32" s="285"/>
      <c r="AH32" s="285"/>
      <c r="AI32" s="285"/>
      <c r="AJ32" s="285"/>
    </row>
    <row r="33" spans="1:36" ht="20.100000000000001" customHeight="1" x14ac:dyDescent="0.25">
      <c r="A33" s="54"/>
      <c r="B33" s="292"/>
      <c r="C33" s="280"/>
      <c r="D33" s="281"/>
      <c r="E33" s="281"/>
      <c r="F33" s="281"/>
      <c r="G33" s="281"/>
      <c r="H33" s="281"/>
      <c r="I33" s="281"/>
      <c r="J33" s="281"/>
      <c r="K33" s="284"/>
      <c r="L33" s="284"/>
      <c r="M33" s="284"/>
      <c r="N33" s="284"/>
      <c r="O33" s="284"/>
      <c r="P33" s="614"/>
      <c r="Q33" s="614"/>
      <c r="R33" s="614"/>
      <c r="S33" s="614"/>
      <c r="T33" s="614"/>
      <c r="U33" s="614"/>
      <c r="V33" s="614"/>
      <c r="W33" s="284"/>
      <c r="X33" s="284"/>
      <c r="Y33" s="12"/>
      <c r="Z33" s="54"/>
      <c r="AB33" s="285"/>
      <c r="AC33" s="285"/>
      <c r="AD33" s="285"/>
      <c r="AE33" s="285"/>
      <c r="AF33" s="285"/>
      <c r="AG33" s="285"/>
      <c r="AH33" s="285"/>
      <c r="AI33" s="285"/>
      <c r="AJ33" s="285"/>
    </row>
    <row r="34" spans="1:36" ht="23.1" customHeight="1" x14ac:dyDescent="0.25">
      <c r="B34" s="623" t="s">
        <v>84</v>
      </c>
      <c r="C34" s="623"/>
      <c r="D34" s="623"/>
      <c r="E34" s="623"/>
      <c r="F34" s="623"/>
      <c r="G34" s="623"/>
      <c r="H34" s="623"/>
      <c r="I34" s="623"/>
      <c r="J34" s="623"/>
      <c r="K34" s="623"/>
      <c r="L34" s="623"/>
      <c r="M34" s="623"/>
      <c r="N34" s="623"/>
      <c r="O34" s="623"/>
      <c r="P34" s="623"/>
      <c r="Q34" s="623"/>
      <c r="R34" s="623"/>
      <c r="S34" s="623"/>
      <c r="T34" s="623"/>
      <c r="U34" s="623"/>
      <c r="V34" s="623"/>
      <c r="W34" s="623"/>
      <c r="X34" s="623"/>
      <c r="Y34" s="623"/>
      <c r="AB34" s="254"/>
      <c r="AC34" s="254"/>
      <c r="AD34" s="286"/>
      <c r="AE34" s="287"/>
      <c r="AF34" s="254"/>
      <c r="AG34" s="254"/>
      <c r="AH34" s="254"/>
      <c r="AI34" s="254"/>
      <c r="AJ34" s="254"/>
    </row>
    <row r="35" spans="1:36" ht="9.9499999999999993" customHeight="1" x14ac:dyDescent="0.25">
      <c r="B35" s="615"/>
      <c r="C35" s="615"/>
      <c r="D35" s="615"/>
      <c r="E35" s="615"/>
      <c r="F35" s="615"/>
      <c r="G35" s="615"/>
      <c r="H35" s="615"/>
      <c r="I35" s="615"/>
      <c r="J35" s="615"/>
      <c r="K35" s="615"/>
      <c r="L35" s="615"/>
      <c r="M35" s="615"/>
      <c r="N35" s="615"/>
      <c r="O35" s="615"/>
      <c r="P35" s="615"/>
      <c r="Q35" s="615"/>
      <c r="R35" s="615"/>
      <c r="S35" s="615"/>
      <c r="T35" s="615"/>
      <c r="U35" s="615"/>
      <c r="V35" s="615"/>
      <c r="W35" s="615"/>
      <c r="X35" s="615"/>
      <c r="Y35" s="615"/>
      <c r="AB35" s="254"/>
      <c r="AC35" s="254"/>
      <c r="AD35" s="254"/>
      <c r="AE35" s="254"/>
      <c r="AF35" s="254"/>
      <c r="AG35" s="254"/>
      <c r="AH35" s="254"/>
      <c r="AI35" s="254"/>
      <c r="AJ35" s="254"/>
    </row>
    <row r="36" spans="1:36" ht="23.1" customHeight="1" x14ac:dyDescent="0.25">
      <c r="B36" s="612" t="s">
        <v>85</v>
      </c>
      <c r="C36" s="612"/>
      <c r="D36" s="612"/>
      <c r="E36" s="612"/>
      <c r="F36" s="612"/>
      <c r="G36" s="612"/>
      <c r="H36" s="612"/>
      <c r="I36" s="612"/>
      <c r="J36" s="612"/>
      <c r="K36" s="612"/>
      <c r="L36" s="612"/>
      <c r="M36" s="612"/>
      <c r="N36" s="612"/>
      <c r="O36" s="612"/>
      <c r="P36" s="612"/>
      <c r="Q36" s="612"/>
      <c r="R36" s="612"/>
      <c r="S36" s="612"/>
      <c r="T36" s="612"/>
      <c r="U36" s="612"/>
      <c r="V36" s="612"/>
      <c r="W36" s="612"/>
      <c r="X36" s="612"/>
      <c r="Y36" s="612"/>
      <c r="AB36" s="254"/>
      <c r="AC36" s="254"/>
      <c r="AD36" s="286"/>
      <c r="AE36" s="254"/>
      <c r="AF36" s="254"/>
      <c r="AG36" s="254"/>
      <c r="AH36" s="254"/>
      <c r="AI36" s="254"/>
      <c r="AJ36" s="254"/>
    </row>
    <row r="37" spans="1:36" ht="23.1" customHeight="1" x14ac:dyDescent="0.25">
      <c r="B37" s="613"/>
      <c r="C37" s="613"/>
      <c r="D37" s="613"/>
      <c r="E37" s="613"/>
      <c r="F37" s="613"/>
      <c r="G37" s="613"/>
      <c r="H37" s="613"/>
      <c r="I37" s="613"/>
      <c r="J37" s="613"/>
      <c r="K37" s="613"/>
      <c r="L37" s="613"/>
      <c r="M37" s="613"/>
      <c r="N37" s="613"/>
      <c r="O37" s="613"/>
      <c r="P37" s="613"/>
      <c r="Q37" s="613"/>
      <c r="R37" s="613"/>
      <c r="S37" s="613"/>
      <c r="T37" s="613"/>
      <c r="U37" s="613"/>
      <c r="V37" s="613"/>
      <c r="W37" s="613"/>
      <c r="X37" s="613"/>
      <c r="Y37" s="613"/>
      <c r="AB37" s="254"/>
      <c r="AC37" s="254"/>
      <c r="AD37" s="254"/>
      <c r="AE37" s="254"/>
      <c r="AF37" s="254"/>
      <c r="AG37" s="254"/>
      <c r="AH37" s="254"/>
      <c r="AI37" s="254"/>
      <c r="AJ37" s="254"/>
    </row>
    <row r="38" spans="1:36" ht="23.1" customHeight="1" x14ac:dyDescent="0.25">
      <c r="B38" s="293"/>
      <c r="C38" s="293"/>
      <c r="D38" s="293"/>
      <c r="E38" s="293"/>
      <c r="F38" s="293"/>
      <c r="G38" s="293"/>
      <c r="H38" s="293"/>
      <c r="I38" s="293"/>
      <c r="J38" s="293"/>
      <c r="K38" s="293"/>
      <c r="L38" s="293"/>
      <c r="M38" s="293"/>
      <c r="N38" s="293"/>
      <c r="O38" s="293"/>
      <c r="P38" s="293"/>
      <c r="Q38" s="293"/>
      <c r="R38" s="293"/>
      <c r="S38" s="293"/>
      <c r="T38" s="293"/>
      <c r="U38" s="293"/>
      <c r="V38" s="293"/>
      <c r="W38" s="293"/>
      <c r="X38" s="293"/>
      <c r="Y38" s="293"/>
    </row>
    <row r="39" spans="1:36" ht="23.1" customHeight="1" x14ac:dyDescent="0.25">
      <c r="A39" s="54"/>
      <c r="B39" s="292" t="s">
        <v>87</v>
      </c>
      <c r="C39" s="288"/>
      <c r="D39" s="288"/>
      <c r="E39" s="288"/>
      <c r="F39" s="288"/>
      <c r="G39" s="288"/>
      <c r="H39" s="288"/>
      <c r="I39" s="288"/>
      <c r="J39" s="280"/>
      <c r="K39" s="280"/>
      <c r="L39" s="280"/>
      <c r="M39" s="289"/>
      <c r="N39" s="289"/>
      <c r="O39" s="289"/>
      <c r="P39" s="290"/>
      <c r="Q39" s="290"/>
      <c r="R39" s="290"/>
      <c r="S39" s="290"/>
      <c r="T39" s="290"/>
      <c r="U39" s="290"/>
      <c r="V39" s="290"/>
      <c r="W39" s="290"/>
      <c r="X39" s="290"/>
      <c r="Y39" s="290"/>
      <c r="Z39" s="54"/>
    </row>
    <row r="40" spans="1:36" ht="23.1" customHeight="1" x14ac:dyDescent="0.25">
      <c r="A40" s="54"/>
      <c r="B40" s="292" t="s">
        <v>88</v>
      </c>
      <c r="C40" s="280"/>
      <c r="D40" s="281"/>
      <c r="E40" s="281"/>
      <c r="F40" s="281"/>
      <c r="G40" s="281"/>
      <c r="H40" s="281"/>
      <c r="I40" s="281"/>
      <c r="J40" s="281"/>
      <c r="K40" s="284"/>
      <c r="L40" s="284"/>
      <c r="M40" s="284"/>
      <c r="N40" s="284"/>
      <c r="O40" s="284"/>
      <c r="P40" s="284"/>
      <c r="Q40" s="284"/>
      <c r="R40" s="284"/>
      <c r="S40" s="284"/>
      <c r="T40" s="284"/>
      <c r="U40" s="284"/>
      <c r="V40" s="284"/>
      <c r="W40" s="284"/>
      <c r="X40" s="284"/>
      <c r="Y40" s="12"/>
      <c r="Z40" s="54"/>
      <c r="AB40" s="285"/>
      <c r="AC40" s="285"/>
      <c r="AD40" s="285"/>
      <c r="AE40" s="285"/>
      <c r="AF40" s="285"/>
      <c r="AG40" s="285"/>
      <c r="AH40" s="285"/>
      <c r="AI40" s="285"/>
      <c r="AJ40" s="285"/>
    </row>
    <row r="41" spans="1:36" ht="23.1" customHeight="1" x14ac:dyDescent="0.25">
      <c r="A41" s="54"/>
      <c r="B41" s="292" t="s">
        <v>89</v>
      </c>
      <c r="C41" s="280"/>
      <c r="D41" s="281"/>
      <c r="E41" s="281"/>
      <c r="F41" s="281"/>
      <c r="G41" s="281"/>
      <c r="H41" s="281"/>
      <c r="I41" s="281"/>
      <c r="J41" s="281"/>
      <c r="K41" s="284"/>
      <c r="L41" s="284"/>
      <c r="M41" s="284"/>
      <c r="N41" s="284"/>
      <c r="O41" s="284"/>
      <c r="P41" s="284"/>
      <c r="Q41" s="284"/>
      <c r="R41" s="284"/>
      <c r="S41" s="284"/>
      <c r="T41" s="284"/>
      <c r="U41" s="284"/>
      <c r="V41" s="284"/>
      <c r="W41" s="284"/>
      <c r="X41" s="284"/>
      <c r="Y41" s="12"/>
      <c r="Z41" s="54"/>
      <c r="AB41" s="285"/>
      <c r="AC41" s="285"/>
      <c r="AD41" s="285"/>
      <c r="AE41" s="285"/>
      <c r="AF41" s="285"/>
      <c r="AG41" s="285"/>
      <c r="AH41" s="285"/>
      <c r="AI41" s="285"/>
      <c r="AJ41" s="285"/>
    </row>
    <row r="42" spans="1:36" ht="23.1" customHeight="1" x14ac:dyDescent="0.25">
      <c r="A42" s="54"/>
      <c r="B42" s="292" t="s">
        <v>90</v>
      </c>
      <c r="C42" s="288"/>
      <c r="D42" s="288"/>
      <c r="E42" s="288"/>
      <c r="F42" s="288"/>
      <c r="G42" s="288"/>
      <c r="H42" s="288"/>
      <c r="I42" s="288"/>
      <c r="J42" s="280"/>
      <c r="K42" s="280"/>
      <c r="L42" s="280"/>
      <c r="M42" s="289"/>
      <c r="N42" s="289"/>
      <c r="O42" s="289"/>
      <c r="P42" s="290"/>
      <c r="Q42" s="290"/>
      <c r="R42" s="290"/>
      <c r="S42" s="290"/>
      <c r="T42" s="290"/>
      <c r="U42" s="290"/>
      <c r="V42" s="290"/>
      <c r="W42" s="290"/>
      <c r="X42" s="290"/>
      <c r="Y42" s="290"/>
      <c r="Z42" s="54"/>
    </row>
    <row r="43" spans="1:36" ht="23.1" customHeight="1" x14ac:dyDescent="0.25">
      <c r="A43" s="54"/>
      <c r="B43" s="292" t="s">
        <v>91</v>
      </c>
      <c r="C43" s="280"/>
      <c r="D43" s="281"/>
      <c r="E43" s="281"/>
      <c r="F43" s="281"/>
      <c r="G43" s="281"/>
      <c r="H43" s="281"/>
      <c r="I43" s="281"/>
      <c r="J43" s="281"/>
      <c r="K43" s="284"/>
      <c r="L43" s="284"/>
      <c r="M43" s="284"/>
      <c r="N43" s="284"/>
      <c r="O43" s="284"/>
      <c r="P43" s="284"/>
      <c r="Q43" s="284"/>
      <c r="R43" s="284"/>
      <c r="S43" s="284"/>
      <c r="T43" s="284"/>
      <c r="U43" s="284"/>
      <c r="V43" s="284"/>
      <c r="W43" s="284"/>
      <c r="X43" s="284"/>
      <c r="Y43" s="12"/>
      <c r="Z43" s="54"/>
      <c r="AB43" s="285"/>
      <c r="AC43" s="285"/>
      <c r="AD43" s="285"/>
      <c r="AE43" s="285"/>
      <c r="AF43" s="285"/>
      <c r="AG43" s="285"/>
      <c r="AH43" s="285"/>
      <c r="AI43" s="285"/>
      <c r="AJ43" s="285"/>
    </row>
    <row r="44" spans="1:36" ht="23.1" customHeight="1" x14ac:dyDescent="0.25">
      <c r="A44" s="54"/>
      <c r="B44" s="292" t="s">
        <v>92</v>
      </c>
      <c r="C44" s="280"/>
      <c r="D44" s="281"/>
      <c r="E44" s="281"/>
      <c r="F44" s="281"/>
      <c r="G44" s="281"/>
      <c r="H44" s="281"/>
      <c r="I44" s="281"/>
      <c r="J44" s="281"/>
      <c r="K44" s="284"/>
      <c r="L44" s="284"/>
      <c r="M44" s="284"/>
      <c r="N44" s="284"/>
      <c r="O44" s="284"/>
      <c r="P44" s="284"/>
      <c r="Q44" s="284"/>
      <c r="R44" s="284"/>
      <c r="S44" s="284"/>
      <c r="T44" s="284"/>
      <c r="U44" s="284"/>
      <c r="V44" s="284"/>
      <c r="W44" s="284"/>
      <c r="X44" s="284"/>
      <c r="Y44" s="12"/>
      <c r="Z44" s="54"/>
      <c r="AB44" s="285"/>
      <c r="AC44" s="285"/>
      <c r="AD44" s="285"/>
      <c r="AE44" s="285"/>
      <c r="AF44" s="285"/>
      <c r="AG44" s="285"/>
      <c r="AH44" s="285"/>
      <c r="AI44" s="285"/>
      <c r="AJ44" s="285"/>
    </row>
    <row r="45" spans="1:36" ht="23.1" customHeight="1" x14ac:dyDescent="0.25">
      <c r="A45" s="54"/>
      <c r="B45" s="280"/>
      <c r="C45" s="280"/>
      <c r="D45" s="281"/>
      <c r="E45" s="281"/>
      <c r="F45" s="281"/>
      <c r="G45" s="281"/>
      <c r="H45" s="281"/>
      <c r="I45" s="281"/>
      <c r="J45" s="281"/>
      <c r="K45" s="284"/>
      <c r="L45" s="284"/>
      <c r="M45" s="284"/>
      <c r="N45" s="284"/>
      <c r="O45" s="284"/>
      <c r="P45" s="284"/>
      <c r="Q45" s="284"/>
      <c r="R45" s="284"/>
      <c r="S45" s="284"/>
      <c r="T45" s="284"/>
      <c r="U45" s="284"/>
      <c r="V45" s="284"/>
      <c r="W45" s="284"/>
      <c r="X45" s="284"/>
      <c r="Y45" s="12"/>
      <c r="Z45" s="54"/>
      <c r="AB45" s="285"/>
      <c r="AC45" s="285"/>
      <c r="AD45" s="285"/>
      <c r="AE45" s="285"/>
      <c r="AF45" s="285"/>
      <c r="AG45" s="285"/>
      <c r="AH45" s="285"/>
      <c r="AI45" s="285"/>
      <c r="AJ45" s="285"/>
    </row>
    <row r="46" spans="1:36" s="54" customFormat="1" ht="23.1" customHeight="1" x14ac:dyDescent="0.25">
      <c r="B46" s="595" t="s">
        <v>42</v>
      </c>
      <c r="C46" s="595"/>
      <c r="D46" s="595"/>
      <c r="E46" s="595"/>
      <c r="F46" s="595"/>
      <c r="G46" s="595"/>
      <c r="H46" s="595"/>
      <c r="I46" s="595"/>
      <c r="J46" s="595"/>
      <c r="K46" s="595"/>
      <c r="L46" s="595"/>
      <c r="M46" s="595"/>
      <c r="N46" s="595"/>
      <c r="O46" s="595"/>
      <c r="P46" s="595"/>
      <c r="Q46" s="595"/>
      <c r="R46" s="595"/>
      <c r="S46" s="595"/>
      <c r="T46" s="595"/>
      <c r="U46" s="595"/>
      <c r="V46" s="595"/>
      <c r="W46" s="595"/>
      <c r="X46" s="595"/>
      <c r="Y46" s="595"/>
      <c r="Z46" s="295"/>
      <c r="AB46" s="291"/>
      <c r="AC46" s="291"/>
      <c r="AD46" s="291"/>
      <c r="AE46" s="291"/>
      <c r="AF46" s="291"/>
      <c r="AG46" s="291"/>
      <c r="AH46" s="291"/>
      <c r="AI46" s="291"/>
      <c r="AJ46" s="291"/>
    </row>
    <row r="47" spans="1:36" s="54" customFormat="1" ht="23.1" customHeight="1" x14ac:dyDescent="0.25">
      <c r="B47" s="613" t="str">
        <f>"Declaro para os devidos fins que, conforme legislação tributária do município de "&amp;G14&amp;", a base de cálculo do ISS para "&amp;G15&amp;", é de "&amp;(G16*100)&amp;"%, com a respectiva alíquota de "&amp;ROUND(K16*100,2)&amp;"% sobre o valor da mão de obra."</f>
        <v>Declaro para os devidos fins que, conforme legislação tributária do município de TERESINA - PI, a base de cálculo do ISS para Construção de Edifícios e Reformas (Quadras, unidades habitacionais, escolas, restaurantes, etc), é de 60%, com a respectiva alíquota de 3% sobre o valor da mão de obra.</v>
      </c>
      <c r="C47" s="613"/>
      <c r="D47" s="613"/>
      <c r="E47" s="613"/>
      <c r="F47" s="613"/>
      <c r="G47" s="613"/>
      <c r="H47" s="613"/>
      <c r="I47" s="613"/>
      <c r="J47" s="613"/>
      <c r="K47" s="613"/>
      <c r="L47" s="613"/>
      <c r="M47" s="613"/>
      <c r="N47" s="613"/>
      <c r="O47" s="613"/>
      <c r="P47" s="613"/>
      <c r="Q47" s="613"/>
      <c r="R47" s="613"/>
      <c r="S47" s="613"/>
      <c r="T47" s="613"/>
      <c r="U47" s="613"/>
      <c r="V47" s="613"/>
      <c r="W47" s="613"/>
      <c r="X47" s="613"/>
      <c r="Y47" s="613"/>
      <c r="Z47" s="295"/>
      <c r="AB47" s="291"/>
      <c r="AC47" s="291"/>
      <c r="AD47" s="291"/>
      <c r="AE47" s="291"/>
      <c r="AF47" s="291"/>
      <c r="AG47" s="291"/>
      <c r="AH47" s="291"/>
      <c r="AI47" s="291"/>
      <c r="AJ47" s="291"/>
    </row>
    <row r="48" spans="1:36" s="54" customFormat="1" ht="23.1" customHeight="1" x14ac:dyDescent="0.25">
      <c r="B48" s="613"/>
      <c r="C48" s="613"/>
      <c r="D48" s="613"/>
      <c r="E48" s="613"/>
      <c r="F48" s="613"/>
      <c r="G48" s="613"/>
      <c r="H48" s="613"/>
      <c r="I48" s="613"/>
      <c r="J48" s="613"/>
      <c r="K48" s="613"/>
      <c r="L48" s="613"/>
      <c r="M48" s="613"/>
      <c r="N48" s="613"/>
      <c r="O48" s="613"/>
      <c r="P48" s="613"/>
      <c r="Q48" s="613"/>
      <c r="R48" s="613"/>
      <c r="S48" s="613"/>
      <c r="T48" s="613"/>
      <c r="U48" s="613"/>
      <c r="V48" s="613"/>
      <c r="W48" s="613"/>
      <c r="X48" s="613"/>
      <c r="Y48" s="613"/>
      <c r="Z48" s="295"/>
      <c r="AB48" s="291"/>
      <c r="AC48" s="291"/>
      <c r="AD48" s="291"/>
      <c r="AE48" s="291"/>
      <c r="AF48" s="291"/>
      <c r="AG48" s="291"/>
      <c r="AH48" s="291"/>
      <c r="AI48" s="291"/>
      <c r="AJ48" s="291"/>
    </row>
    <row r="49" spans="2:36" s="54" customFormat="1" ht="23.1" customHeight="1" x14ac:dyDescent="0.25">
      <c r="B49" s="613"/>
      <c r="C49" s="613"/>
      <c r="D49" s="613"/>
      <c r="E49" s="613"/>
      <c r="F49" s="613"/>
      <c r="G49" s="613"/>
      <c r="H49" s="613"/>
      <c r="I49" s="613"/>
      <c r="J49" s="613"/>
      <c r="K49" s="613"/>
      <c r="L49" s="613"/>
      <c r="M49" s="613"/>
      <c r="N49" s="613"/>
      <c r="O49" s="613"/>
      <c r="P49" s="613"/>
      <c r="Q49" s="613"/>
      <c r="R49" s="613"/>
      <c r="S49" s="613"/>
      <c r="T49" s="613"/>
      <c r="U49" s="613"/>
      <c r="V49" s="613"/>
      <c r="W49" s="613"/>
      <c r="X49" s="613"/>
      <c r="Y49" s="613"/>
      <c r="Z49" s="295"/>
      <c r="AB49" s="291"/>
      <c r="AC49" s="291"/>
      <c r="AD49" s="291"/>
      <c r="AE49" s="291"/>
      <c r="AF49" s="291"/>
      <c r="AG49" s="291"/>
      <c r="AH49" s="291"/>
      <c r="AI49" s="291"/>
      <c r="AJ49" s="291"/>
    </row>
    <row r="50" spans="2:36" s="54" customFormat="1" ht="12.75" customHeight="1" x14ac:dyDescent="0.25">
      <c r="B50" s="290"/>
      <c r="C50" s="290"/>
      <c r="D50" s="290"/>
      <c r="E50" s="290"/>
      <c r="F50" s="290"/>
      <c r="G50" s="290"/>
      <c r="H50" s="290"/>
      <c r="I50" s="290"/>
      <c r="J50" s="290"/>
      <c r="K50" s="290"/>
      <c r="L50" s="290"/>
      <c r="M50" s="290"/>
      <c r="N50" s="290"/>
      <c r="O50" s="290"/>
      <c r="P50" s="290"/>
      <c r="Q50" s="290"/>
      <c r="R50" s="290"/>
      <c r="S50" s="290"/>
      <c r="T50" s="290"/>
      <c r="U50" s="290"/>
      <c r="V50" s="290"/>
      <c r="W50" s="290"/>
      <c r="X50" s="290"/>
      <c r="Y50" s="290"/>
      <c r="Z50" s="295"/>
      <c r="AB50" s="291"/>
      <c r="AC50" s="291"/>
      <c r="AD50" s="291"/>
      <c r="AE50" s="291"/>
      <c r="AF50" s="291"/>
      <c r="AG50" s="291"/>
      <c r="AH50" s="291"/>
      <c r="AI50" s="291"/>
      <c r="AJ50" s="291"/>
    </row>
    <row r="51" spans="2:36" s="54" customFormat="1" x14ac:dyDescent="0.25">
      <c r="B51" s="290"/>
      <c r="C51" s="290"/>
      <c r="D51" s="290"/>
      <c r="E51" s="290"/>
      <c r="F51" s="290"/>
      <c r="G51" s="290"/>
      <c r="H51" s="290"/>
      <c r="I51" s="290"/>
      <c r="J51" s="290"/>
      <c r="K51" s="290"/>
      <c r="L51" s="290"/>
      <c r="M51" s="290"/>
      <c r="N51" s="290"/>
      <c r="O51" s="290"/>
      <c r="P51" s="290"/>
      <c r="Q51" s="290"/>
      <c r="R51" s="290"/>
      <c r="S51" s="290"/>
      <c r="T51" s="290"/>
      <c r="U51" s="290"/>
      <c r="V51" s="290"/>
      <c r="W51" s="290"/>
      <c r="X51" s="290"/>
      <c r="Y51" s="290"/>
      <c r="Z51" s="295"/>
      <c r="AB51" s="291"/>
      <c r="AC51" s="291"/>
      <c r="AD51" s="291"/>
      <c r="AE51" s="291"/>
      <c r="AF51" s="291"/>
      <c r="AG51" s="291"/>
      <c r="AH51" s="291"/>
      <c r="AI51" s="291"/>
      <c r="AJ51" s="291"/>
    </row>
    <row r="52" spans="2:36" s="54" customFormat="1" x14ac:dyDescent="0.25">
      <c r="B52" s="290"/>
      <c r="C52" s="290"/>
      <c r="D52" s="290"/>
      <c r="E52" s="290"/>
      <c r="F52" s="290"/>
      <c r="G52" s="290"/>
      <c r="H52" s="290"/>
      <c r="I52" s="290"/>
      <c r="J52" s="290"/>
      <c r="K52" s="290"/>
      <c r="L52" s="290"/>
      <c r="M52" s="290"/>
      <c r="N52" s="290"/>
      <c r="O52" s="290"/>
      <c r="P52" s="290"/>
      <c r="Q52" s="290"/>
      <c r="R52" s="290"/>
      <c r="S52" s="290"/>
      <c r="T52" s="290"/>
      <c r="U52" s="290"/>
      <c r="V52" s="290"/>
      <c r="W52" s="290"/>
      <c r="X52" s="290"/>
      <c r="Y52" s="290"/>
      <c r="Z52" s="295"/>
      <c r="AB52" s="291"/>
      <c r="AC52" s="291"/>
      <c r="AD52" s="291"/>
      <c r="AE52" s="291"/>
      <c r="AF52" s="291"/>
      <c r="AG52" s="291"/>
      <c r="AH52" s="291"/>
      <c r="AI52" s="291"/>
      <c r="AJ52" s="291"/>
    </row>
    <row r="53" spans="2:36" s="54" customFormat="1" x14ac:dyDescent="0.25">
      <c r="B53" s="290"/>
      <c r="C53" s="290"/>
      <c r="D53" s="290"/>
      <c r="E53" s="290"/>
      <c r="F53" s="290"/>
      <c r="G53" s="290"/>
      <c r="H53" s="290"/>
      <c r="I53" s="290"/>
      <c r="J53" s="290"/>
      <c r="K53" s="290"/>
      <c r="L53" s="290"/>
      <c r="M53" s="290"/>
      <c r="N53" s="290"/>
      <c r="O53" s="290"/>
      <c r="P53" s="290"/>
      <c r="Q53" s="290"/>
      <c r="R53" s="290"/>
      <c r="S53" s="290"/>
      <c r="T53" s="290"/>
      <c r="U53" s="290"/>
      <c r="V53" s="290"/>
      <c r="W53" s="290"/>
      <c r="X53" s="290"/>
      <c r="Y53" s="290"/>
      <c r="Z53" s="295"/>
      <c r="AB53" s="291"/>
      <c r="AC53" s="291"/>
      <c r="AD53" s="291"/>
      <c r="AE53" s="291"/>
      <c r="AF53" s="291"/>
      <c r="AG53" s="291"/>
      <c r="AH53" s="291"/>
      <c r="AI53" s="291"/>
      <c r="AJ53" s="291"/>
    </row>
    <row r="54" spans="2:36" s="54" customFormat="1" x14ac:dyDescent="0.25">
      <c r="B54" s="290"/>
      <c r="C54" s="290"/>
      <c r="D54" s="290"/>
      <c r="E54" s="290"/>
      <c r="F54" s="290"/>
      <c r="G54" s="290"/>
      <c r="H54" s="290"/>
      <c r="I54" s="290"/>
      <c r="J54" s="290"/>
      <c r="K54" s="290"/>
      <c r="L54" s="290"/>
      <c r="M54" s="290"/>
      <c r="N54" s="290"/>
      <c r="O54" s="290"/>
      <c r="P54" s="290"/>
      <c r="Q54" s="290"/>
      <c r="R54" s="290"/>
      <c r="S54" s="290"/>
      <c r="T54" s="290"/>
      <c r="U54" s="290"/>
      <c r="V54" s="290"/>
      <c r="W54" s="290"/>
      <c r="X54" s="290"/>
      <c r="Y54" s="290"/>
      <c r="Z54" s="295"/>
      <c r="AB54" s="291"/>
      <c r="AC54" s="291"/>
      <c r="AD54" s="291"/>
      <c r="AE54" s="291"/>
      <c r="AF54" s="291"/>
      <c r="AG54" s="291"/>
      <c r="AH54" s="291"/>
      <c r="AI54" s="291"/>
      <c r="AJ54" s="291"/>
    </row>
    <row r="55" spans="2:36" s="54" customFormat="1" x14ac:dyDescent="0.25">
      <c r="B55" s="290"/>
      <c r="C55" s="290"/>
      <c r="D55" s="290"/>
      <c r="E55" s="290"/>
      <c r="F55" s="290"/>
      <c r="G55" s="290"/>
      <c r="H55" s="290"/>
      <c r="I55" s="290"/>
      <c r="J55" s="290"/>
      <c r="K55" s="290"/>
      <c r="L55" s="290"/>
      <c r="M55" s="290"/>
      <c r="N55" s="290"/>
      <c r="O55" s="290"/>
      <c r="P55" s="290"/>
      <c r="Q55" s="290"/>
      <c r="R55" s="290"/>
      <c r="S55" s="290"/>
      <c r="T55" s="290"/>
      <c r="U55" s="290"/>
      <c r="V55" s="290"/>
      <c r="W55" s="290"/>
      <c r="X55" s="290"/>
      <c r="Y55" s="290"/>
      <c r="Z55" s="295"/>
      <c r="AB55" s="291"/>
      <c r="AC55" s="291"/>
      <c r="AD55" s="291"/>
      <c r="AE55" s="291"/>
      <c r="AF55" s="291"/>
      <c r="AG55" s="291"/>
      <c r="AH55" s="291"/>
      <c r="AI55" s="291"/>
      <c r="AJ55" s="291"/>
    </row>
    <row r="56" spans="2:36" s="54" customFormat="1" x14ac:dyDescent="0.25">
      <c r="B56" s="290"/>
      <c r="C56" s="290"/>
      <c r="D56" s="290"/>
      <c r="E56" s="290"/>
      <c r="F56" s="290"/>
      <c r="G56" s="290"/>
      <c r="H56" s="290"/>
      <c r="I56" s="290"/>
      <c r="J56" s="290"/>
      <c r="K56" s="290"/>
      <c r="L56" s="290"/>
      <c r="M56" s="290"/>
      <c r="N56" s="290"/>
      <c r="O56" s="290"/>
      <c r="P56" s="290"/>
      <c r="Q56" s="290"/>
      <c r="R56" s="290"/>
      <c r="S56" s="290"/>
      <c r="T56" s="290"/>
      <c r="U56" s="290"/>
      <c r="V56" s="290"/>
      <c r="W56" s="290"/>
      <c r="X56" s="290"/>
      <c r="Y56" s="290"/>
      <c r="Z56" s="295"/>
      <c r="AB56" s="291"/>
      <c r="AC56" s="291"/>
      <c r="AD56" s="291"/>
      <c r="AE56" s="291"/>
      <c r="AF56" s="291"/>
      <c r="AG56" s="291"/>
      <c r="AH56" s="291"/>
      <c r="AI56" s="291"/>
      <c r="AJ56" s="291"/>
    </row>
    <row r="57" spans="2:36" s="54" customFormat="1" x14ac:dyDescent="0.25">
      <c r="B57" s="290"/>
      <c r="C57" s="290"/>
      <c r="D57" s="290"/>
      <c r="E57" s="290"/>
      <c r="F57" s="290"/>
      <c r="G57" s="290"/>
      <c r="H57" s="290"/>
      <c r="I57" s="290"/>
      <c r="J57" s="290"/>
      <c r="K57" s="290"/>
      <c r="L57" s="290"/>
      <c r="M57" s="290"/>
      <c r="N57" s="290"/>
      <c r="O57" s="290"/>
      <c r="P57" s="290"/>
      <c r="Q57" s="290"/>
      <c r="R57" s="290"/>
      <c r="S57" s="290"/>
      <c r="T57" s="290"/>
      <c r="U57" s="290"/>
      <c r="V57" s="290"/>
      <c r="W57" s="290"/>
      <c r="X57" s="290"/>
      <c r="Y57" s="290"/>
      <c r="Z57" s="295"/>
      <c r="AB57" s="291"/>
      <c r="AC57" s="291"/>
      <c r="AD57" s="291"/>
      <c r="AE57" s="291"/>
      <c r="AF57" s="291"/>
      <c r="AG57" s="291"/>
      <c r="AH57" s="291"/>
      <c r="AI57" s="291"/>
      <c r="AJ57" s="291"/>
    </row>
    <row r="58" spans="2:36" s="54" customFormat="1" x14ac:dyDescent="0.25">
      <c r="B58" s="290"/>
      <c r="C58" s="290"/>
      <c r="D58" s="290"/>
      <c r="E58" s="290"/>
      <c r="F58" s="290"/>
      <c r="G58" s="290"/>
      <c r="H58" s="290"/>
      <c r="I58" s="290"/>
      <c r="J58" s="290"/>
      <c r="K58" s="290"/>
      <c r="L58" s="290"/>
      <c r="M58" s="290"/>
      <c r="N58" s="290"/>
      <c r="O58" s="290"/>
      <c r="P58" s="290"/>
      <c r="Q58" s="290"/>
      <c r="R58" s="290"/>
      <c r="S58" s="290"/>
      <c r="T58" s="290"/>
      <c r="U58" s="290"/>
      <c r="V58" s="290"/>
      <c r="W58" s="290"/>
      <c r="X58" s="290"/>
      <c r="Y58" s="290"/>
      <c r="Z58" s="295"/>
      <c r="AB58" s="291"/>
      <c r="AC58" s="291"/>
      <c r="AD58" s="291"/>
      <c r="AE58" s="291"/>
      <c r="AF58" s="291"/>
      <c r="AG58" s="291"/>
      <c r="AH58" s="291"/>
      <c r="AI58" s="291"/>
      <c r="AJ58" s="291"/>
    </row>
    <row r="59" spans="2:36" s="54" customFormat="1" x14ac:dyDescent="0.25">
      <c r="B59" s="290"/>
      <c r="C59" s="290"/>
      <c r="D59" s="290"/>
      <c r="E59" s="290"/>
      <c r="F59" s="290"/>
      <c r="G59" s="290"/>
      <c r="H59" s="290"/>
      <c r="I59" s="290"/>
      <c r="J59" s="290"/>
      <c r="K59" s="290"/>
      <c r="L59" s="290"/>
      <c r="M59" s="290"/>
      <c r="N59" s="290"/>
      <c r="O59" s="290"/>
      <c r="P59" s="290"/>
      <c r="Q59" s="290"/>
      <c r="R59" s="290"/>
      <c r="S59" s="290"/>
      <c r="T59" s="290"/>
      <c r="U59" s="290"/>
      <c r="V59" s="290"/>
      <c r="W59" s="290"/>
      <c r="X59" s="290"/>
      <c r="Y59" s="290"/>
      <c r="Z59" s="295"/>
      <c r="AB59" s="291"/>
      <c r="AC59" s="291"/>
      <c r="AD59" s="291"/>
      <c r="AE59" s="291"/>
      <c r="AF59" s="291"/>
      <c r="AG59" s="291"/>
      <c r="AH59" s="291"/>
      <c r="AI59" s="291"/>
      <c r="AJ59" s="291"/>
    </row>
    <row r="60" spans="2:36" s="54" customFormat="1" x14ac:dyDescent="0.25">
      <c r="B60" s="290"/>
      <c r="C60" s="290"/>
      <c r="D60" s="290"/>
      <c r="E60" s="290"/>
      <c r="F60" s="290"/>
      <c r="G60" s="290"/>
      <c r="H60" s="290"/>
      <c r="I60" s="290"/>
      <c r="J60" s="290"/>
      <c r="K60" s="290"/>
      <c r="L60" s="290"/>
      <c r="M60" s="290"/>
      <c r="N60" s="290"/>
      <c r="O60" s="290"/>
      <c r="P60" s="290"/>
      <c r="Q60" s="290"/>
      <c r="R60" s="290"/>
      <c r="S60" s="290"/>
      <c r="T60" s="290"/>
      <c r="U60" s="290"/>
      <c r="V60" s="290"/>
      <c r="W60" s="290"/>
      <c r="X60" s="290"/>
      <c r="Y60" s="290"/>
      <c r="Z60" s="295"/>
      <c r="AB60" s="291"/>
      <c r="AC60" s="291"/>
      <c r="AD60" s="291"/>
      <c r="AE60" s="291"/>
      <c r="AF60" s="291"/>
      <c r="AG60" s="291"/>
      <c r="AH60" s="291"/>
      <c r="AI60" s="291"/>
      <c r="AJ60" s="291"/>
    </row>
    <row r="61" spans="2:36" s="54" customFormat="1" x14ac:dyDescent="0.25">
      <c r="B61" s="290"/>
      <c r="C61" s="290"/>
      <c r="D61" s="290"/>
      <c r="E61" s="290"/>
      <c r="F61" s="290"/>
      <c r="G61" s="290"/>
      <c r="H61" s="290"/>
      <c r="I61" s="290"/>
      <c r="J61" s="290"/>
      <c r="K61" s="290"/>
      <c r="L61" s="290"/>
      <c r="M61" s="290"/>
      <c r="N61" s="290"/>
      <c r="O61" s="290"/>
      <c r="P61" s="290"/>
      <c r="Q61" s="290"/>
      <c r="R61" s="290"/>
      <c r="S61" s="290"/>
      <c r="T61" s="290"/>
      <c r="U61" s="290"/>
      <c r="V61" s="290"/>
      <c r="W61" s="290"/>
      <c r="X61" s="290"/>
      <c r="Y61" s="290"/>
      <c r="Z61" s="295"/>
      <c r="AB61" s="291"/>
      <c r="AC61" s="291"/>
      <c r="AD61" s="291"/>
      <c r="AE61" s="291"/>
      <c r="AF61" s="291"/>
      <c r="AG61" s="291"/>
      <c r="AH61" s="291"/>
      <c r="AI61" s="291"/>
      <c r="AJ61" s="291"/>
    </row>
    <row r="62" spans="2:36" s="54" customFormat="1" x14ac:dyDescent="0.25">
      <c r="B62" s="290"/>
      <c r="C62" s="290"/>
      <c r="D62" s="290"/>
      <c r="E62" s="290"/>
      <c r="F62" s="290"/>
      <c r="G62" s="290"/>
      <c r="H62" s="290"/>
      <c r="I62" s="290"/>
      <c r="J62" s="290"/>
      <c r="K62" s="290"/>
      <c r="L62" s="290"/>
      <c r="M62" s="290"/>
      <c r="N62" s="290"/>
      <c r="O62" s="290"/>
      <c r="P62" s="290"/>
      <c r="Q62" s="290"/>
      <c r="R62" s="290"/>
      <c r="S62" s="290"/>
      <c r="T62" s="290"/>
      <c r="U62" s="290"/>
      <c r="V62" s="290"/>
      <c r="W62" s="290"/>
      <c r="X62" s="290"/>
      <c r="Y62" s="290"/>
      <c r="Z62" s="295"/>
      <c r="AB62" s="291"/>
      <c r="AC62" s="291"/>
      <c r="AD62" s="291"/>
      <c r="AE62" s="291"/>
      <c r="AF62" s="291"/>
      <c r="AG62" s="291"/>
      <c r="AH62" s="291"/>
      <c r="AI62" s="291"/>
      <c r="AJ62" s="291"/>
    </row>
    <row r="63" spans="2:36" s="54" customFormat="1" x14ac:dyDescent="0.25">
      <c r="B63" s="290"/>
      <c r="C63" s="290"/>
      <c r="D63" s="290"/>
      <c r="E63" s="290"/>
      <c r="F63" s="290"/>
      <c r="G63" s="290"/>
      <c r="H63" s="290"/>
      <c r="I63" s="290"/>
      <c r="J63" s="290"/>
      <c r="K63" s="290"/>
      <c r="L63" s="290"/>
      <c r="M63" s="290"/>
      <c r="N63" s="290"/>
      <c r="O63" s="290"/>
      <c r="P63" s="290"/>
      <c r="Q63" s="290"/>
      <c r="R63" s="290"/>
      <c r="S63" s="290"/>
      <c r="T63" s="290"/>
      <c r="U63" s="290"/>
      <c r="V63" s="290"/>
      <c r="W63" s="290"/>
      <c r="X63" s="290"/>
      <c r="Y63" s="290"/>
      <c r="Z63" s="295"/>
      <c r="AB63" s="291"/>
      <c r="AC63" s="291"/>
      <c r="AD63" s="291"/>
      <c r="AE63" s="291"/>
      <c r="AF63" s="291"/>
      <c r="AG63" s="291"/>
      <c r="AH63" s="291"/>
      <c r="AI63" s="291"/>
      <c r="AJ63" s="291"/>
    </row>
    <row r="64" spans="2:36" s="54" customFormat="1" x14ac:dyDescent="0.25">
      <c r="B64" s="290"/>
      <c r="C64" s="290"/>
      <c r="D64" s="290"/>
      <c r="E64" s="290"/>
      <c r="F64" s="290"/>
      <c r="G64" s="290"/>
      <c r="H64" s="290"/>
      <c r="I64" s="290"/>
      <c r="J64" s="290"/>
      <c r="K64" s="290"/>
      <c r="L64" s="290"/>
      <c r="M64" s="290"/>
      <c r="N64" s="290"/>
      <c r="O64" s="290"/>
      <c r="P64" s="290"/>
      <c r="Q64" s="290"/>
      <c r="R64" s="290"/>
      <c r="S64" s="290"/>
      <c r="T64" s="290"/>
      <c r="U64" s="290"/>
      <c r="V64" s="290"/>
      <c r="W64" s="290"/>
      <c r="X64" s="290"/>
      <c r="Y64" s="290"/>
      <c r="Z64" s="295"/>
      <c r="AB64" s="291"/>
      <c r="AC64" s="291"/>
      <c r="AD64" s="291"/>
      <c r="AE64" s="291"/>
      <c r="AF64" s="291"/>
      <c r="AG64" s="291"/>
      <c r="AH64" s="291"/>
      <c r="AI64" s="291"/>
      <c r="AJ64" s="291"/>
    </row>
    <row r="65" spans="2:36" s="54" customFormat="1" x14ac:dyDescent="0.25">
      <c r="B65" s="290"/>
      <c r="C65" s="290"/>
      <c r="D65" s="290"/>
      <c r="E65" s="290"/>
      <c r="F65" s="290"/>
      <c r="G65" s="290"/>
      <c r="H65" s="290"/>
      <c r="I65" s="290"/>
      <c r="J65" s="290"/>
      <c r="K65" s="290"/>
      <c r="L65" s="290"/>
      <c r="M65" s="290"/>
      <c r="N65" s="290"/>
      <c r="O65" s="290"/>
      <c r="P65" s="290"/>
      <c r="Q65" s="290"/>
      <c r="R65" s="290"/>
      <c r="S65" s="290"/>
      <c r="T65" s="290"/>
      <c r="U65" s="290"/>
      <c r="V65" s="290"/>
      <c r="W65" s="290"/>
      <c r="X65" s="290"/>
      <c r="Y65" s="290"/>
      <c r="Z65" s="295"/>
      <c r="AB65" s="291"/>
      <c r="AC65" s="291"/>
      <c r="AD65" s="291"/>
      <c r="AE65" s="291"/>
      <c r="AF65" s="291"/>
      <c r="AG65" s="291"/>
      <c r="AH65" s="291"/>
      <c r="AI65" s="291"/>
      <c r="AJ65" s="291"/>
    </row>
    <row r="66" spans="2:36" s="54" customFormat="1" x14ac:dyDescent="0.25">
      <c r="B66" s="290"/>
      <c r="C66" s="290"/>
      <c r="D66" s="290"/>
      <c r="E66" s="290"/>
      <c r="F66" s="290"/>
      <c r="G66" s="290"/>
      <c r="H66" s="290"/>
      <c r="I66" s="290"/>
      <c r="J66" s="290"/>
      <c r="K66" s="290"/>
      <c r="L66" s="290"/>
      <c r="M66" s="290"/>
      <c r="N66" s="290"/>
      <c r="O66" s="290"/>
      <c r="P66" s="290"/>
      <c r="Q66" s="290"/>
      <c r="R66" s="290"/>
      <c r="S66" s="290"/>
      <c r="T66" s="290"/>
      <c r="U66" s="290"/>
      <c r="V66" s="290"/>
      <c r="W66" s="290"/>
      <c r="X66" s="290"/>
      <c r="Y66" s="290"/>
      <c r="Z66" s="295"/>
      <c r="AB66" s="291"/>
      <c r="AC66" s="291"/>
      <c r="AD66" s="291"/>
      <c r="AE66" s="291"/>
      <c r="AF66" s="291"/>
      <c r="AG66" s="291"/>
      <c r="AH66" s="291"/>
      <c r="AI66" s="291"/>
      <c r="AJ66" s="291"/>
    </row>
    <row r="67" spans="2:36" s="54" customFormat="1" x14ac:dyDescent="0.25">
      <c r="B67" s="290"/>
      <c r="C67" s="290"/>
      <c r="D67" s="290"/>
      <c r="E67" s="290"/>
      <c r="F67" s="290"/>
      <c r="G67" s="290"/>
      <c r="H67" s="290"/>
      <c r="I67" s="290"/>
      <c r="J67" s="290"/>
      <c r="K67" s="290"/>
      <c r="L67" s="290"/>
      <c r="M67" s="290"/>
      <c r="N67" s="290"/>
      <c r="O67" s="290"/>
      <c r="P67" s="290"/>
      <c r="Q67" s="290"/>
      <c r="R67" s="290"/>
      <c r="S67" s="290"/>
      <c r="T67" s="290"/>
      <c r="U67" s="290"/>
      <c r="V67" s="290"/>
      <c r="W67" s="290"/>
      <c r="X67" s="290"/>
      <c r="Y67" s="290"/>
      <c r="Z67" s="295"/>
      <c r="AB67" s="291"/>
      <c r="AC67" s="291"/>
      <c r="AD67" s="291"/>
      <c r="AE67" s="291"/>
      <c r="AF67" s="291"/>
      <c r="AG67" s="291"/>
      <c r="AH67" s="291"/>
      <c r="AI67" s="291"/>
      <c r="AJ67" s="291"/>
    </row>
    <row r="68" spans="2:36" s="54" customFormat="1" x14ac:dyDescent="0.25">
      <c r="B68" s="290"/>
      <c r="C68" s="290"/>
      <c r="D68" s="290"/>
      <c r="E68" s="290"/>
      <c r="F68" s="290"/>
      <c r="G68" s="290"/>
      <c r="H68" s="290"/>
      <c r="I68" s="290"/>
      <c r="J68" s="290"/>
      <c r="K68" s="290"/>
      <c r="L68" s="290"/>
      <c r="M68" s="290"/>
      <c r="N68" s="290"/>
      <c r="O68" s="290"/>
      <c r="P68" s="290"/>
      <c r="Q68" s="290"/>
      <c r="R68" s="290"/>
      <c r="S68" s="290"/>
      <c r="T68" s="290"/>
      <c r="U68" s="290"/>
      <c r="V68" s="290"/>
      <c r="W68" s="290"/>
      <c r="X68" s="290"/>
      <c r="Y68" s="290"/>
      <c r="Z68" s="295"/>
      <c r="AB68" s="291"/>
      <c r="AC68" s="291"/>
      <c r="AD68" s="291"/>
      <c r="AE68" s="291"/>
      <c r="AF68" s="291"/>
      <c r="AG68" s="291"/>
      <c r="AH68" s="291"/>
      <c r="AI68" s="291"/>
      <c r="AJ68" s="291"/>
    </row>
    <row r="69" spans="2:36" s="54" customFormat="1" x14ac:dyDescent="0.25">
      <c r="Z69" s="295"/>
      <c r="AB69" s="291"/>
      <c r="AC69" s="291"/>
      <c r="AD69" s="291"/>
      <c r="AE69" s="291"/>
      <c r="AF69" s="291"/>
      <c r="AG69" s="291"/>
      <c r="AH69" s="291"/>
      <c r="AI69" s="291"/>
      <c r="AJ69" s="291"/>
    </row>
    <row r="70" spans="2:36" s="54" customFormat="1" x14ac:dyDescent="0.25">
      <c r="Z70" s="295"/>
      <c r="AB70" s="291"/>
      <c r="AC70" s="291"/>
      <c r="AD70" s="291"/>
      <c r="AE70" s="291"/>
      <c r="AF70" s="291"/>
      <c r="AG70" s="291"/>
      <c r="AH70" s="291"/>
      <c r="AI70" s="291"/>
      <c r="AJ70" s="291"/>
    </row>
    <row r="71" spans="2:36" s="54" customFormat="1" x14ac:dyDescent="0.25">
      <c r="Z71" s="295"/>
      <c r="AB71" s="291"/>
      <c r="AC71" s="291"/>
      <c r="AD71" s="291"/>
      <c r="AE71" s="291"/>
      <c r="AF71" s="291"/>
      <c r="AG71" s="291"/>
      <c r="AH71" s="291"/>
      <c r="AI71" s="291"/>
      <c r="AJ71" s="291"/>
    </row>
    <row r="72" spans="2:36" s="54" customFormat="1" x14ac:dyDescent="0.25">
      <c r="Z72" s="295"/>
      <c r="AB72" s="291"/>
      <c r="AC72" s="291"/>
      <c r="AD72" s="291"/>
      <c r="AE72" s="291"/>
      <c r="AF72" s="291"/>
      <c r="AG72" s="291"/>
      <c r="AH72" s="291"/>
      <c r="AI72" s="291"/>
      <c r="AJ72" s="291"/>
    </row>
    <row r="73" spans="2:36" s="54" customFormat="1" x14ac:dyDescent="0.25">
      <c r="Z73" s="295"/>
      <c r="AB73" s="291"/>
      <c r="AC73" s="291"/>
      <c r="AD73" s="291"/>
      <c r="AE73" s="291"/>
      <c r="AF73" s="291"/>
      <c r="AG73" s="291"/>
      <c r="AH73" s="291"/>
      <c r="AI73" s="291"/>
      <c r="AJ73" s="291"/>
    </row>
    <row r="74" spans="2:36" s="54" customFormat="1" x14ac:dyDescent="0.25">
      <c r="Z74" s="295"/>
      <c r="AB74" s="291"/>
      <c r="AC74" s="291"/>
      <c r="AD74" s="291"/>
      <c r="AE74" s="291"/>
      <c r="AF74" s="291"/>
      <c r="AG74" s="291"/>
      <c r="AH74" s="291"/>
      <c r="AI74" s="291"/>
      <c r="AJ74" s="291"/>
    </row>
  </sheetData>
  <mergeCells count="31">
    <mergeCell ref="I22:L22"/>
    <mergeCell ref="B1:Y6"/>
    <mergeCell ref="B13:F13"/>
    <mergeCell ref="G13:Y13"/>
    <mergeCell ref="B14:F14"/>
    <mergeCell ref="G14:Y14"/>
    <mergeCell ref="B15:F15"/>
    <mergeCell ref="G15:Y15"/>
    <mergeCell ref="B16:F16"/>
    <mergeCell ref="G16:I16"/>
    <mergeCell ref="E20:H21"/>
    <mergeCell ref="I20:L21"/>
    <mergeCell ref="P20:V20"/>
    <mergeCell ref="D11:R11"/>
    <mergeCell ref="B34:Y34"/>
    <mergeCell ref="I23:L23"/>
    <mergeCell ref="I24:L24"/>
    <mergeCell ref="I25:L25"/>
    <mergeCell ref="I26:L26"/>
    <mergeCell ref="I27:L27"/>
    <mergeCell ref="I28:L28"/>
    <mergeCell ref="I29:L29"/>
    <mergeCell ref="I30:L30"/>
    <mergeCell ref="I31:L31"/>
    <mergeCell ref="P31:V31"/>
    <mergeCell ref="P33:V33"/>
    <mergeCell ref="B35:Y35"/>
    <mergeCell ref="B36:Y36"/>
    <mergeCell ref="B37:Y37"/>
    <mergeCell ref="B46:Y46"/>
    <mergeCell ref="B47:Y49"/>
  </mergeCells>
  <conditionalFormatting sqref="G14:Y15">
    <cfRule type="cellIs" dxfId="3" priority="2" stopIfTrue="1" operator="equal">
      <formula>0</formula>
    </cfRule>
  </conditionalFormatting>
  <conditionalFormatting sqref="I22:I28">
    <cfRule type="cellIs" dxfId="2" priority="1" stopIfTrue="1" operator="equal">
      <formula>0</formula>
    </cfRule>
  </conditionalFormatting>
  <printOptions horizontalCentered="1"/>
  <pageMargins left="0.51181102362204722" right="0.51181102362204722" top="0.78740157480314965" bottom="0.78740157480314965" header="0.31496062992125984" footer="0.31496062992125984"/>
  <pageSetup paperSize="9" scale="57" orientation="portrait" horizontalDpi="1200" verticalDpi="1200" r:id="rId1"/>
  <headerFooter>
    <oddFooter>&amp;L&amp;"Arial Narrow,Normal"&amp;10&amp;A
&amp;F&amp;R&amp;"Arial Narrow,Normal"&amp;10Página &amp;P de &amp;N</oddFooter>
  </headerFooter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AU74"/>
  <sheetViews>
    <sheetView showGridLines="0" view="pageBreakPreview" zoomScaleNormal="100" zoomScaleSheetLayoutView="100" workbookViewId="0">
      <selection activeCell="D11" sqref="D11:R11"/>
    </sheetView>
  </sheetViews>
  <sheetFormatPr defaultColWidth="3.5703125" defaultRowHeight="12.75" x14ac:dyDescent="0.25"/>
  <cols>
    <col min="1" max="1" width="1.5703125" style="262" customWidth="1"/>
    <col min="2" max="2" width="5.42578125" style="262" customWidth="1"/>
    <col min="3" max="3" width="2.5703125" style="262" customWidth="1"/>
    <col min="4" max="5" width="5.42578125" style="262" customWidth="1"/>
    <col min="6" max="6" width="10.42578125" style="262" customWidth="1"/>
    <col min="7" max="14" width="6.5703125" style="262" customWidth="1"/>
    <col min="15" max="15" width="4.42578125" style="262" customWidth="1"/>
    <col min="16" max="22" width="5.5703125" style="262" customWidth="1"/>
    <col min="23" max="24" width="4.42578125" style="262" customWidth="1"/>
    <col min="25" max="25" width="8.42578125" style="262" customWidth="1"/>
    <col min="26" max="26" width="1.5703125" style="295" customWidth="1"/>
    <col min="27" max="27" width="3.5703125" style="262" customWidth="1"/>
    <col min="28" max="28" width="19.42578125" style="265" customWidth="1"/>
    <col min="29" max="29" width="8.5703125" style="265" customWidth="1"/>
    <col min="30" max="31" width="9.140625" style="265" customWidth="1"/>
    <col min="32" max="32" width="3.5703125" style="265"/>
    <col min="33" max="33" width="10.85546875" style="265" hidden="1" customWidth="1"/>
    <col min="34" max="34" width="7" style="265" hidden="1" customWidth="1"/>
    <col min="35" max="36" width="3.5703125" style="265"/>
    <col min="37" max="41" width="3.5703125" style="262"/>
    <col min="42" max="42" width="5.5703125" style="262" bestFit="1" customWidth="1"/>
    <col min="43" max="44" width="3.5703125" style="262"/>
    <col min="45" max="45" width="6.5703125" style="262" bestFit="1" customWidth="1"/>
    <col min="46" max="46" width="3.5703125" style="262"/>
    <col min="47" max="47" width="5.5703125" style="262" bestFit="1" customWidth="1"/>
    <col min="48" max="259" width="3.5703125" style="262"/>
    <col min="260" max="260" width="11.42578125" style="262" customWidth="1"/>
    <col min="261" max="261" width="1.85546875" style="262" customWidth="1"/>
    <col min="262" max="265" width="5.42578125" style="262" customWidth="1"/>
    <col min="266" max="266" width="10.42578125" style="262" customWidth="1"/>
    <col min="267" max="267" width="7.85546875" style="262" customWidth="1"/>
    <col min="268" max="268" width="8.85546875" style="262" customWidth="1"/>
    <col min="269" max="269" width="8.42578125" style="262" customWidth="1"/>
    <col min="270" max="270" width="4.42578125" style="262" customWidth="1"/>
    <col min="271" max="272" width="4.140625" style="262" customWidth="1"/>
    <col min="273" max="273" width="6.85546875" style="262" customWidth="1"/>
    <col min="274" max="274" width="4.140625" style="262" customWidth="1"/>
    <col min="275" max="280" width="4.42578125" style="262" customWidth="1"/>
    <col min="281" max="281" width="7" style="262" customWidth="1"/>
    <col min="282" max="282" width="0" style="262" hidden="1" customWidth="1"/>
    <col min="283" max="286" width="3.5703125" style="262" customWidth="1"/>
    <col min="287" max="288" width="3.5703125" style="262"/>
    <col min="289" max="290" width="0" style="262" hidden="1" customWidth="1"/>
    <col min="291" max="297" width="3.5703125" style="262"/>
    <col min="298" max="298" width="5.5703125" style="262" bestFit="1" customWidth="1"/>
    <col min="299" max="300" width="3.5703125" style="262"/>
    <col min="301" max="301" width="6.5703125" style="262" bestFit="1" customWidth="1"/>
    <col min="302" max="302" width="3.5703125" style="262"/>
    <col min="303" max="303" width="5.5703125" style="262" bestFit="1" customWidth="1"/>
    <col min="304" max="515" width="3.5703125" style="262"/>
    <col min="516" max="516" width="11.42578125" style="262" customWidth="1"/>
    <col min="517" max="517" width="1.85546875" style="262" customWidth="1"/>
    <col min="518" max="521" width="5.42578125" style="262" customWidth="1"/>
    <col min="522" max="522" width="10.42578125" style="262" customWidth="1"/>
    <col min="523" max="523" width="7.85546875" style="262" customWidth="1"/>
    <col min="524" max="524" width="8.85546875" style="262" customWidth="1"/>
    <col min="525" max="525" width="8.42578125" style="262" customWidth="1"/>
    <col min="526" max="526" width="4.42578125" style="262" customWidth="1"/>
    <col min="527" max="528" width="4.140625" style="262" customWidth="1"/>
    <col min="529" max="529" width="6.85546875" style="262" customWidth="1"/>
    <col min="530" max="530" width="4.140625" style="262" customWidth="1"/>
    <col min="531" max="536" width="4.42578125" style="262" customWidth="1"/>
    <col min="537" max="537" width="7" style="262" customWidth="1"/>
    <col min="538" max="538" width="0" style="262" hidden="1" customWidth="1"/>
    <col min="539" max="542" width="3.5703125" style="262" customWidth="1"/>
    <col min="543" max="544" width="3.5703125" style="262"/>
    <col min="545" max="546" width="0" style="262" hidden="1" customWidth="1"/>
    <col min="547" max="553" width="3.5703125" style="262"/>
    <col min="554" max="554" width="5.5703125" style="262" bestFit="1" customWidth="1"/>
    <col min="555" max="556" width="3.5703125" style="262"/>
    <col min="557" max="557" width="6.5703125" style="262" bestFit="1" customWidth="1"/>
    <col min="558" max="558" width="3.5703125" style="262"/>
    <col min="559" max="559" width="5.5703125" style="262" bestFit="1" customWidth="1"/>
    <col min="560" max="771" width="3.5703125" style="262"/>
    <col min="772" max="772" width="11.42578125" style="262" customWidth="1"/>
    <col min="773" max="773" width="1.85546875" style="262" customWidth="1"/>
    <col min="774" max="777" width="5.42578125" style="262" customWidth="1"/>
    <col min="778" max="778" width="10.42578125" style="262" customWidth="1"/>
    <col min="779" max="779" width="7.85546875" style="262" customWidth="1"/>
    <col min="780" max="780" width="8.85546875" style="262" customWidth="1"/>
    <col min="781" max="781" width="8.42578125" style="262" customWidth="1"/>
    <col min="782" max="782" width="4.42578125" style="262" customWidth="1"/>
    <col min="783" max="784" width="4.140625" style="262" customWidth="1"/>
    <col min="785" max="785" width="6.85546875" style="262" customWidth="1"/>
    <col min="786" max="786" width="4.140625" style="262" customWidth="1"/>
    <col min="787" max="792" width="4.42578125" style="262" customWidth="1"/>
    <col min="793" max="793" width="7" style="262" customWidth="1"/>
    <col min="794" max="794" width="0" style="262" hidden="1" customWidth="1"/>
    <col min="795" max="798" width="3.5703125" style="262" customWidth="1"/>
    <col min="799" max="800" width="3.5703125" style="262"/>
    <col min="801" max="802" width="0" style="262" hidden="1" customWidth="1"/>
    <col min="803" max="809" width="3.5703125" style="262"/>
    <col min="810" max="810" width="5.5703125" style="262" bestFit="1" customWidth="1"/>
    <col min="811" max="812" width="3.5703125" style="262"/>
    <col min="813" max="813" width="6.5703125" style="262" bestFit="1" customWidth="1"/>
    <col min="814" max="814" width="3.5703125" style="262"/>
    <col min="815" max="815" width="5.5703125" style="262" bestFit="1" customWidth="1"/>
    <col min="816" max="1027" width="3.5703125" style="262"/>
    <col min="1028" max="1028" width="11.42578125" style="262" customWidth="1"/>
    <col min="1029" max="1029" width="1.85546875" style="262" customWidth="1"/>
    <col min="1030" max="1033" width="5.42578125" style="262" customWidth="1"/>
    <col min="1034" max="1034" width="10.42578125" style="262" customWidth="1"/>
    <col min="1035" max="1035" width="7.85546875" style="262" customWidth="1"/>
    <col min="1036" max="1036" width="8.85546875" style="262" customWidth="1"/>
    <col min="1037" max="1037" width="8.42578125" style="262" customWidth="1"/>
    <col min="1038" max="1038" width="4.42578125" style="262" customWidth="1"/>
    <col min="1039" max="1040" width="4.140625" style="262" customWidth="1"/>
    <col min="1041" max="1041" width="6.85546875" style="262" customWidth="1"/>
    <col min="1042" max="1042" width="4.140625" style="262" customWidth="1"/>
    <col min="1043" max="1048" width="4.42578125" style="262" customWidth="1"/>
    <col min="1049" max="1049" width="7" style="262" customWidth="1"/>
    <col min="1050" max="1050" width="0" style="262" hidden="1" customWidth="1"/>
    <col min="1051" max="1054" width="3.5703125" style="262" customWidth="1"/>
    <col min="1055" max="1056" width="3.5703125" style="262"/>
    <col min="1057" max="1058" width="0" style="262" hidden="1" customWidth="1"/>
    <col min="1059" max="1065" width="3.5703125" style="262"/>
    <col min="1066" max="1066" width="5.5703125" style="262" bestFit="1" customWidth="1"/>
    <col min="1067" max="1068" width="3.5703125" style="262"/>
    <col min="1069" max="1069" width="6.5703125" style="262" bestFit="1" customWidth="1"/>
    <col min="1070" max="1070" width="3.5703125" style="262"/>
    <col min="1071" max="1071" width="5.5703125" style="262" bestFit="1" customWidth="1"/>
    <col min="1072" max="1283" width="3.5703125" style="262"/>
    <col min="1284" max="1284" width="11.42578125" style="262" customWidth="1"/>
    <col min="1285" max="1285" width="1.85546875" style="262" customWidth="1"/>
    <col min="1286" max="1289" width="5.42578125" style="262" customWidth="1"/>
    <col min="1290" max="1290" width="10.42578125" style="262" customWidth="1"/>
    <col min="1291" max="1291" width="7.85546875" style="262" customWidth="1"/>
    <col min="1292" max="1292" width="8.85546875" style="262" customWidth="1"/>
    <col min="1293" max="1293" width="8.42578125" style="262" customWidth="1"/>
    <col min="1294" max="1294" width="4.42578125" style="262" customWidth="1"/>
    <col min="1295" max="1296" width="4.140625" style="262" customWidth="1"/>
    <col min="1297" max="1297" width="6.85546875" style="262" customWidth="1"/>
    <col min="1298" max="1298" width="4.140625" style="262" customWidth="1"/>
    <col min="1299" max="1304" width="4.42578125" style="262" customWidth="1"/>
    <col min="1305" max="1305" width="7" style="262" customWidth="1"/>
    <col min="1306" max="1306" width="0" style="262" hidden="1" customWidth="1"/>
    <col min="1307" max="1310" width="3.5703125" style="262" customWidth="1"/>
    <col min="1311" max="1312" width="3.5703125" style="262"/>
    <col min="1313" max="1314" width="0" style="262" hidden="1" customWidth="1"/>
    <col min="1315" max="1321" width="3.5703125" style="262"/>
    <col min="1322" max="1322" width="5.5703125" style="262" bestFit="1" customWidth="1"/>
    <col min="1323" max="1324" width="3.5703125" style="262"/>
    <col min="1325" max="1325" width="6.5703125" style="262" bestFit="1" customWidth="1"/>
    <col min="1326" max="1326" width="3.5703125" style="262"/>
    <col min="1327" max="1327" width="5.5703125" style="262" bestFit="1" customWidth="1"/>
    <col min="1328" max="1539" width="3.5703125" style="262"/>
    <col min="1540" max="1540" width="11.42578125" style="262" customWidth="1"/>
    <col min="1541" max="1541" width="1.85546875" style="262" customWidth="1"/>
    <col min="1542" max="1545" width="5.42578125" style="262" customWidth="1"/>
    <col min="1546" max="1546" width="10.42578125" style="262" customWidth="1"/>
    <col min="1547" max="1547" width="7.85546875" style="262" customWidth="1"/>
    <col min="1548" max="1548" width="8.85546875" style="262" customWidth="1"/>
    <col min="1549" max="1549" width="8.42578125" style="262" customWidth="1"/>
    <col min="1550" max="1550" width="4.42578125" style="262" customWidth="1"/>
    <col min="1551" max="1552" width="4.140625" style="262" customWidth="1"/>
    <col min="1553" max="1553" width="6.85546875" style="262" customWidth="1"/>
    <col min="1554" max="1554" width="4.140625" style="262" customWidth="1"/>
    <col min="1555" max="1560" width="4.42578125" style="262" customWidth="1"/>
    <col min="1561" max="1561" width="7" style="262" customWidth="1"/>
    <col min="1562" max="1562" width="0" style="262" hidden="1" customWidth="1"/>
    <col min="1563" max="1566" width="3.5703125" style="262" customWidth="1"/>
    <col min="1567" max="1568" width="3.5703125" style="262"/>
    <col min="1569" max="1570" width="0" style="262" hidden="1" customWidth="1"/>
    <col min="1571" max="1577" width="3.5703125" style="262"/>
    <col min="1578" max="1578" width="5.5703125" style="262" bestFit="1" customWidth="1"/>
    <col min="1579" max="1580" width="3.5703125" style="262"/>
    <col min="1581" max="1581" width="6.5703125" style="262" bestFit="1" customWidth="1"/>
    <col min="1582" max="1582" width="3.5703125" style="262"/>
    <col min="1583" max="1583" width="5.5703125" style="262" bestFit="1" customWidth="1"/>
    <col min="1584" max="1795" width="3.5703125" style="262"/>
    <col min="1796" max="1796" width="11.42578125" style="262" customWidth="1"/>
    <col min="1797" max="1797" width="1.85546875" style="262" customWidth="1"/>
    <col min="1798" max="1801" width="5.42578125" style="262" customWidth="1"/>
    <col min="1802" max="1802" width="10.42578125" style="262" customWidth="1"/>
    <col min="1803" max="1803" width="7.85546875" style="262" customWidth="1"/>
    <col min="1804" max="1804" width="8.85546875" style="262" customWidth="1"/>
    <col min="1805" max="1805" width="8.42578125" style="262" customWidth="1"/>
    <col min="1806" max="1806" width="4.42578125" style="262" customWidth="1"/>
    <col min="1807" max="1808" width="4.140625" style="262" customWidth="1"/>
    <col min="1809" max="1809" width="6.85546875" style="262" customWidth="1"/>
    <col min="1810" max="1810" width="4.140625" style="262" customWidth="1"/>
    <col min="1811" max="1816" width="4.42578125" style="262" customWidth="1"/>
    <col min="1817" max="1817" width="7" style="262" customWidth="1"/>
    <col min="1818" max="1818" width="0" style="262" hidden="1" customWidth="1"/>
    <col min="1819" max="1822" width="3.5703125" style="262" customWidth="1"/>
    <col min="1823" max="1824" width="3.5703125" style="262"/>
    <col min="1825" max="1826" width="0" style="262" hidden="1" customWidth="1"/>
    <col min="1827" max="1833" width="3.5703125" style="262"/>
    <col min="1834" max="1834" width="5.5703125" style="262" bestFit="1" customWidth="1"/>
    <col min="1835" max="1836" width="3.5703125" style="262"/>
    <col min="1837" max="1837" width="6.5703125" style="262" bestFit="1" customWidth="1"/>
    <col min="1838" max="1838" width="3.5703125" style="262"/>
    <col min="1839" max="1839" width="5.5703125" style="262" bestFit="1" customWidth="1"/>
    <col min="1840" max="2051" width="3.5703125" style="262"/>
    <col min="2052" max="2052" width="11.42578125" style="262" customWidth="1"/>
    <col min="2053" max="2053" width="1.85546875" style="262" customWidth="1"/>
    <col min="2054" max="2057" width="5.42578125" style="262" customWidth="1"/>
    <col min="2058" max="2058" width="10.42578125" style="262" customWidth="1"/>
    <col min="2059" max="2059" width="7.85546875" style="262" customWidth="1"/>
    <col min="2060" max="2060" width="8.85546875" style="262" customWidth="1"/>
    <col min="2061" max="2061" width="8.42578125" style="262" customWidth="1"/>
    <col min="2062" max="2062" width="4.42578125" style="262" customWidth="1"/>
    <col min="2063" max="2064" width="4.140625" style="262" customWidth="1"/>
    <col min="2065" max="2065" width="6.85546875" style="262" customWidth="1"/>
    <col min="2066" max="2066" width="4.140625" style="262" customWidth="1"/>
    <col min="2067" max="2072" width="4.42578125" style="262" customWidth="1"/>
    <col min="2073" max="2073" width="7" style="262" customWidth="1"/>
    <col min="2074" max="2074" width="0" style="262" hidden="1" customWidth="1"/>
    <col min="2075" max="2078" width="3.5703125" style="262" customWidth="1"/>
    <col min="2079" max="2080" width="3.5703125" style="262"/>
    <col min="2081" max="2082" width="0" style="262" hidden="1" customWidth="1"/>
    <col min="2083" max="2089" width="3.5703125" style="262"/>
    <col min="2090" max="2090" width="5.5703125" style="262" bestFit="1" customWidth="1"/>
    <col min="2091" max="2092" width="3.5703125" style="262"/>
    <col min="2093" max="2093" width="6.5703125" style="262" bestFit="1" customWidth="1"/>
    <col min="2094" max="2094" width="3.5703125" style="262"/>
    <col min="2095" max="2095" width="5.5703125" style="262" bestFit="1" customWidth="1"/>
    <col min="2096" max="2307" width="3.5703125" style="262"/>
    <col min="2308" max="2308" width="11.42578125" style="262" customWidth="1"/>
    <col min="2309" max="2309" width="1.85546875" style="262" customWidth="1"/>
    <col min="2310" max="2313" width="5.42578125" style="262" customWidth="1"/>
    <col min="2314" max="2314" width="10.42578125" style="262" customWidth="1"/>
    <col min="2315" max="2315" width="7.85546875" style="262" customWidth="1"/>
    <col min="2316" max="2316" width="8.85546875" style="262" customWidth="1"/>
    <col min="2317" max="2317" width="8.42578125" style="262" customWidth="1"/>
    <col min="2318" max="2318" width="4.42578125" style="262" customWidth="1"/>
    <col min="2319" max="2320" width="4.140625" style="262" customWidth="1"/>
    <col min="2321" max="2321" width="6.85546875" style="262" customWidth="1"/>
    <col min="2322" max="2322" width="4.140625" style="262" customWidth="1"/>
    <col min="2323" max="2328" width="4.42578125" style="262" customWidth="1"/>
    <col min="2329" max="2329" width="7" style="262" customWidth="1"/>
    <col min="2330" max="2330" width="0" style="262" hidden="1" customWidth="1"/>
    <col min="2331" max="2334" width="3.5703125" style="262" customWidth="1"/>
    <col min="2335" max="2336" width="3.5703125" style="262"/>
    <col min="2337" max="2338" width="0" style="262" hidden="1" customWidth="1"/>
    <col min="2339" max="2345" width="3.5703125" style="262"/>
    <col min="2346" max="2346" width="5.5703125" style="262" bestFit="1" customWidth="1"/>
    <col min="2347" max="2348" width="3.5703125" style="262"/>
    <col min="2349" max="2349" width="6.5703125" style="262" bestFit="1" customWidth="1"/>
    <col min="2350" max="2350" width="3.5703125" style="262"/>
    <col min="2351" max="2351" width="5.5703125" style="262" bestFit="1" customWidth="1"/>
    <col min="2352" max="2563" width="3.5703125" style="262"/>
    <col min="2564" max="2564" width="11.42578125" style="262" customWidth="1"/>
    <col min="2565" max="2565" width="1.85546875" style="262" customWidth="1"/>
    <col min="2566" max="2569" width="5.42578125" style="262" customWidth="1"/>
    <col min="2570" max="2570" width="10.42578125" style="262" customWidth="1"/>
    <col min="2571" max="2571" width="7.85546875" style="262" customWidth="1"/>
    <col min="2572" max="2572" width="8.85546875" style="262" customWidth="1"/>
    <col min="2573" max="2573" width="8.42578125" style="262" customWidth="1"/>
    <col min="2574" max="2574" width="4.42578125" style="262" customWidth="1"/>
    <col min="2575" max="2576" width="4.140625" style="262" customWidth="1"/>
    <col min="2577" max="2577" width="6.85546875" style="262" customWidth="1"/>
    <col min="2578" max="2578" width="4.140625" style="262" customWidth="1"/>
    <col min="2579" max="2584" width="4.42578125" style="262" customWidth="1"/>
    <col min="2585" max="2585" width="7" style="262" customWidth="1"/>
    <col min="2586" max="2586" width="0" style="262" hidden="1" customWidth="1"/>
    <col min="2587" max="2590" width="3.5703125" style="262" customWidth="1"/>
    <col min="2591" max="2592" width="3.5703125" style="262"/>
    <col min="2593" max="2594" width="0" style="262" hidden="1" customWidth="1"/>
    <col min="2595" max="2601" width="3.5703125" style="262"/>
    <col min="2602" max="2602" width="5.5703125" style="262" bestFit="1" customWidth="1"/>
    <col min="2603" max="2604" width="3.5703125" style="262"/>
    <col min="2605" max="2605" width="6.5703125" style="262" bestFit="1" customWidth="1"/>
    <col min="2606" max="2606" width="3.5703125" style="262"/>
    <col min="2607" max="2607" width="5.5703125" style="262" bestFit="1" customWidth="1"/>
    <col min="2608" max="2819" width="3.5703125" style="262"/>
    <col min="2820" max="2820" width="11.42578125" style="262" customWidth="1"/>
    <col min="2821" max="2821" width="1.85546875" style="262" customWidth="1"/>
    <col min="2822" max="2825" width="5.42578125" style="262" customWidth="1"/>
    <col min="2826" max="2826" width="10.42578125" style="262" customWidth="1"/>
    <col min="2827" max="2827" width="7.85546875" style="262" customWidth="1"/>
    <col min="2828" max="2828" width="8.85546875" style="262" customWidth="1"/>
    <col min="2829" max="2829" width="8.42578125" style="262" customWidth="1"/>
    <col min="2830" max="2830" width="4.42578125" style="262" customWidth="1"/>
    <col min="2831" max="2832" width="4.140625" style="262" customWidth="1"/>
    <col min="2833" max="2833" width="6.85546875" style="262" customWidth="1"/>
    <col min="2834" max="2834" width="4.140625" style="262" customWidth="1"/>
    <col min="2835" max="2840" width="4.42578125" style="262" customWidth="1"/>
    <col min="2841" max="2841" width="7" style="262" customWidth="1"/>
    <col min="2842" max="2842" width="0" style="262" hidden="1" customWidth="1"/>
    <col min="2843" max="2846" width="3.5703125" style="262" customWidth="1"/>
    <col min="2847" max="2848" width="3.5703125" style="262"/>
    <col min="2849" max="2850" width="0" style="262" hidden="1" customWidth="1"/>
    <col min="2851" max="2857" width="3.5703125" style="262"/>
    <col min="2858" max="2858" width="5.5703125" style="262" bestFit="1" customWidth="1"/>
    <col min="2859" max="2860" width="3.5703125" style="262"/>
    <col min="2861" max="2861" width="6.5703125" style="262" bestFit="1" customWidth="1"/>
    <col min="2862" max="2862" width="3.5703125" style="262"/>
    <col min="2863" max="2863" width="5.5703125" style="262" bestFit="1" customWidth="1"/>
    <col min="2864" max="3075" width="3.5703125" style="262"/>
    <col min="3076" max="3076" width="11.42578125" style="262" customWidth="1"/>
    <col min="3077" max="3077" width="1.85546875" style="262" customWidth="1"/>
    <col min="3078" max="3081" width="5.42578125" style="262" customWidth="1"/>
    <col min="3082" max="3082" width="10.42578125" style="262" customWidth="1"/>
    <col min="3083" max="3083" width="7.85546875" style="262" customWidth="1"/>
    <col min="3084" max="3084" width="8.85546875" style="262" customWidth="1"/>
    <col min="3085" max="3085" width="8.42578125" style="262" customWidth="1"/>
    <col min="3086" max="3086" width="4.42578125" style="262" customWidth="1"/>
    <col min="3087" max="3088" width="4.140625" style="262" customWidth="1"/>
    <col min="3089" max="3089" width="6.85546875" style="262" customWidth="1"/>
    <col min="3090" max="3090" width="4.140625" style="262" customWidth="1"/>
    <col min="3091" max="3096" width="4.42578125" style="262" customWidth="1"/>
    <col min="3097" max="3097" width="7" style="262" customWidth="1"/>
    <col min="3098" max="3098" width="0" style="262" hidden="1" customWidth="1"/>
    <col min="3099" max="3102" width="3.5703125" style="262" customWidth="1"/>
    <col min="3103" max="3104" width="3.5703125" style="262"/>
    <col min="3105" max="3106" width="0" style="262" hidden="1" customWidth="1"/>
    <col min="3107" max="3113" width="3.5703125" style="262"/>
    <col min="3114" max="3114" width="5.5703125" style="262" bestFit="1" customWidth="1"/>
    <col min="3115" max="3116" width="3.5703125" style="262"/>
    <col min="3117" max="3117" width="6.5703125" style="262" bestFit="1" customWidth="1"/>
    <col min="3118" max="3118" width="3.5703125" style="262"/>
    <col min="3119" max="3119" width="5.5703125" style="262" bestFit="1" customWidth="1"/>
    <col min="3120" max="3331" width="3.5703125" style="262"/>
    <col min="3332" max="3332" width="11.42578125" style="262" customWidth="1"/>
    <col min="3333" max="3333" width="1.85546875" style="262" customWidth="1"/>
    <col min="3334" max="3337" width="5.42578125" style="262" customWidth="1"/>
    <col min="3338" max="3338" width="10.42578125" style="262" customWidth="1"/>
    <col min="3339" max="3339" width="7.85546875" style="262" customWidth="1"/>
    <col min="3340" max="3340" width="8.85546875" style="262" customWidth="1"/>
    <col min="3341" max="3341" width="8.42578125" style="262" customWidth="1"/>
    <col min="3342" max="3342" width="4.42578125" style="262" customWidth="1"/>
    <col min="3343" max="3344" width="4.140625" style="262" customWidth="1"/>
    <col min="3345" max="3345" width="6.85546875" style="262" customWidth="1"/>
    <col min="3346" max="3346" width="4.140625" style="262" customWidth="1"/>
    <col min="3347" max="3352" width="4.42578125" style="262" customWidth="1"/>
    <col min="3353" max="3353" width="7" style="262" customWidth="1"/>
    <col min="3354" max="3354" width="0" style="262" hidden="1" customWidth="1"/>
    <col min="3355" max="3358" width="3.5703125" style="262" customWidth="1"/>
    <col min="3359" max="3360" width="3.5703125" style="262"/>
    <col min="3361" max="3362" width="0" style="262" hidden="1" customWidth="1"/>
    <col min="3363" max="3369" width="3.5703125" style="262"/>
    <col min="3370" max="3370" width="5.5703125" style="262" bestFit="1" customWidth="1"/>
    <col min="3371" max="3372" width="3.5703125" style="262"/>
    <col min="3373" max="3373" width="6.5703125" style="262" bestFit="1" customWidth="1"/>
    <col min="3374" max="3374" width="3.5703125" style="262"/>
    <col min="3375" max="3375" width="5.5703125" style="262" bestFit="1" customWidth="1"/>
    <col min="3376" max="3587" width="3.5703125" style="262"/>
    <col min="3588" max="3588" width="11.42578125" style="262" customWidth="1"/>
    <col min="3589" max="3589" width="1.85546875" style="262" customWidth="1"/>
    <col min="3590" max="3593" width="5.42578125" style="262" customWidth="1"/>
    <col min="3594" max="3594" width="10.42578125" style="262" customWidth="1"/>
    <col min="3595" max="3595" width="7.85546875" style="262" customWidth="1"/>
    <col min="3596" max="3596" width="8.85546875" style="262" customWidth="1"/>
    <col min="3597" max="3597" width="8.42578125" style="262" customWidth="1"/>
    <col min="3598" max="3598" width="4.42578125" style="262" customWidth="1"/>
    <col min="3599" max="3600" width="4.140625" style="262" customWidth="1"/>
    <col min="3601" max="3601" width="6.85546875" style="262" customWidth="1"/>
    <col min="3602" max="3602" width="4.140625" style="262" customWidth="1"/>
    <col min="3603" max="3608" width="4.42578125" style="262" customWidth="1"/>
    <col min="3609" max="3609" width="7" style="262" customWidth="1"/>
    <col min="3610" max="3610" width="0" style="262" hidden="1" customWidth="1"/>
    <col min="3611" max="3614" width="3.5703125" style="262" customWidth="1"/>
    <col min="3615" max="3616" width="3.5703125" style="262"/>
    <col min="3617" max="3618" width="0" style="262" hidden="1" customWidth="1"/>
    <col min="3619" max="3625" width="3.5703125" style="262"/>
    <col min="3626" max="3626" width="5.5703125" style="262" bestFit="1" customWidth="1"/>
    <col min="3627" max="3628" width="3.5703125" style="262"/>
    <col min="3629" max="3629" width="6.5703125" style="262" bestFit="1" customWidth="1"/>
    <col min="3630" max="3630" width="3.5703125" style="262"/>
    <col min="3631" max="3631" width="5.5703125" style="262" bestFit="1" customWidth="1"/>
    <col min="3632" max="3843" width="3.5703125" style="262"/>
    <col min="3844" max="3844" width="11.42578125" style="262" customWidth="1"/>
    <col min="3845" max="3845" width="1.85546875" style="262" customWidth="1"/>
    <col min="3846" max="3849" width="5.42578125" style="262" customWidth="1"/>
    <col min="3850" max="3850" width="10.42578125" style="262" customWidth="1"/>
    <col min="3851" max="3851" width="7.85546875" style="262" customWidth="1"/>
    <col min="3852" max="3852" width="8.85546875" style="262" customWidth="1"/>
    <col min="3853" max="3853" width="8.42578125" style="262" customWidth="1"/>
    <col min="3854" max="3854" width="4.42578125" style="262" customWidth="1"/>
    <col min="3855" max="3856" width="4.140625" style="262" customWidth="1"/>
    <col min="3857" max="3857" width="6.85546875" style="262" customWidth="1"/>
    <col min="3858" max="3858" width="4.140625" style="262" customWidth="1"/>
    <col min="3859" max="3864" width="4.42578125" style="262" customWidth="1"/>
    <col min="3865" max="3865" width="7" style="262" customWidth="1"/>
    <col min="3866" max="3866" width="0" style="262" hidden="1" customWidth="1"/>
    <col min="3867" max="3870" width="3.5703125" style="262" customWidth="1"/>
    <col min="3871" max="3872" width="3.5703125" style="262"/>
    <col min="3873" max="3874" width="0" style="262" hidden="1" customWidth="1"/>
    <col min="3875" max="3881" width="3.5703125" style="262"/>
    <col min="3882" max="3882" width="5.5703125" style="262" bestFit="1" customWidth="1"/>
    <col min="3883" max="3884" width="3.5703125" style="262"/>
    <col min="3885" max="3885" width="6.5703125" style="262" bestFit="1" customWidth="1"/>
    <col min="3886" max="3886" width="3.5703125" style="262"/>
    <col min="3887" max="3887" width="5.5703125" style="262" bestFit="1" customWidth="1"/>
    <col min="3888" max="4099" width="3.5703125" style="262"/>
    <col min="4100" max="4100" width="11.42578125" style="262" customWidth="1"/>
    <col min="4101" max="4101" width="1.85546875" style="262" customWidth="1"/>
    <col min="4102" max="4105" width="5.42578125" style="262" customWidth="1"/>
    <col min="4106" max="4106" width="10.42578125" style="262" customWidth="1"/>
    <col min="4107" max="4107" width="7.85546875" style="262" customWidth="1"/>
    <col min="4108" max="4108" width="8.85546875" style="262" customWidth="1"/>
    <col min="4109" max="4109" width="8.42578125" style="262" customWidth="1"/>
    <col min="4110" max="4110" width="4.42578125" style="262" customWidth="1"/>
    <col min="4111" max="4112" width="4.140625" style="262" customWidth="1"/>
    <col min="4113" max="4113" width="6.85546875" style="262" customWidth="1"/>
    <col min="4114" max="4114" width="4.140625" style="262" customWidth="1"/>
    <col min="4115" max="4120" width="4.42578125" style="262" customWidth="1"/>
    <col min="4121" max="4121" width="7" style="262" customWidth="1"/>
    <col min="4122" max="4122" width="0" style="262" hidden="1" customWidth="1"/>
    <col min="4123" max="4126" width="3.5703125" style="262" customWidth="1"/>
    <col min="4127" max="4128" width="3.5703125" style="262"/>
    <col min="4129" max="4130" width="0" style="262" hidden="1" customWidth="1"/>
    <col min="4131" max="4137" width="3.5703125" style="262"/>
    <col min="4138" max="4138" width="5.5703125" style="262" bestFit="1" customWidth="1"/>
    <col min="4139" max="4140" width="3.5703125" style="262"/>
    <col min="4141" max="4141" width="6.5703125" style="262" bestFit="1" customWidth="1"/>
    <col min="4142" max="4142" width="3.5703125" style="262"/>
    <col min="4143" max="4143" width="5.5703125" style="262" bestFit="1" customWidth="1"/>
    <col min="4144" max="4355" width="3.5703125" style="262"/>
    <col min="4356" max="4356" width="11.42578125" style="262" customWidth="1"/>
    <col min="4357" max="4357" width="1.85546875" style="262" customWidth="1"/>
    <col min="4358" max="4361" width="5.42578125" style="262" customWidth="1"/>
    <col min="4362" max="4362" width="10.42578125" style="262" customWidth="1"/>
    <col min="4363" max="4363" width="7.85546875" style="262" customWidth="1"/>
    <col min="4364" max="4364" width="8.85546875" style="262" customWidth="1"/>
    <col min="4365" max="4365" width="8.42578125" style="262" customWidth="1"/>
    <col min="4366" max="4366" width="4.42578125" style="262" customWidth="1"/>
    <col min="4367" max="4368" width="4.140625" style="262" customWidth="1"/>
    <col min="4369" max="4369" width="6.85546875" style="262" customWidth="1"/>
    <col min="4370" max="4370" width="4.140625" style="262" customWidth="1"/>
    <col min="4371" max="4376" width="4.42578125" style="262" customWidth="1"/>
    <col min="4377" max="4377" width="7" style="262" customWidth="1"/>
    <col min="4378" max="4378" width="0" style="262" hidden="1" customWidth="1"/>
    <col min="4379" max="4382" width="3.5703125" style="262" customWidth="1"/>
    <col min="4383" max="4384" width="3.5703125" style="262"/>
    <col min="4385" max="4386" width="0" style="262" hidden="1" customWidth="1"/>
    <col min="4387" max="4393" width="3.5703125" style="262"/>
    <col min="4394" max="4394" width="5.5703125" style="262" bestFit="1" customWidth="1"/>
    <col min="4395" max="4396" width="3.5703125" style="262"/>
    <col min="4397" max="4397" width="6.5703125" style="262" bestFit="1" customWidth="1"/>
    <col min="4398" max="4398" width="3.5703125" style="262"/>
    <col min="4399" max="4399" width="5.5703125" style="262" bestFit="1" customWidth="1"/>
    <col min="4400" max="4611" width="3.5703125" style="262"/>
    <col min="4612" max="4612" width="11.42578125" style="262" customWidth="1"/>
    <col min="4613" max="4613" width="1.85546875" style="262" customWidth="1"/>
    <col min="4614" max="4617" width="5.42578125" style="262" customWidth="1"/>
    <col min="4618" max="4618" width="10.42578125" style="262" customWidth="1"/>
    <col min="4619" max="4619" width="7.85546875" style="262" customWidth="1"/>
    <col min="4620" max="4620" width="8.85546875" style="262" customWidth="1"/>
    <col min="4621" max="4621" width="8.42578125" style="262" customWidth="1"/>
    <col min="4622" max="4622" width="4.42578125" style="262" customWidth="1"/>
    <col min="4623" max="4624" width="4.140625" style="262" customWidth="1"/>
    <col min="4625" max="4625" width="6.85546875" style="262" customWidth="1"/>
    <col min="4626" max="4626" width="4.140625" style="262" customWidth="1"/>
    <col min="4627" max="4632" width="4.42578125" style="262" customWidth="1"/>
    <col min="4633" max="4633" width="7" style="262" customWidth="1"/>
    <col min="4634" max="4634" width="0" style="262" hidden="1" customWidth="1"/>
    <col min="4635" max="4638" width="3.5703125" style="262" customWidth="1"/>
    <col min="4639" max="4640" width="3.5703125" style="262"/>
    <col min="4641" max="4642" width="0" style="262" hidden="1" customWidth="1"/>
    <col min="4643" max="4649" width="3.5703125" style="262"/>
    <col min="4650" max="4650" width="5.5703125" style="262" bestFit="1" customWidth="1"/>
    <col min="4651" max="4652" width="3.5703125" style="262"/>
    <col min="4653" max="4653" width="6.5703125" style="262" bestFit="1" customWidth="1"/>
    <col min="4654" max="4654" width="3.5703125" style="262"/>
    <col min="4655" max="4655" width="5.5703125" style="262" bestFit="1" customWidth="1"/>
    <col min="4656" max="4867" width="3.5703125" style="262"/>
    <col min="4868" max="4868" width="11.42578125" style="262" customWidth="1"/>
    <col min="4869" max="4869" width="1.85546875" style="262" customWidth="1"/>
    <col min="4870" max="4873" width="5.42578125" style="262" customWidth="1"/>
    <col min="4874" max="4874" width="10.42578125" style="262" customWidth="1"/>
    <col min="4875" max="4875" width="7.85546875" style="262" customWidth="1"/>
    <col min="4876" max="4876" width="8.85546875" style="262" customWidth="1"/>
    <col min="4877" max="4877" width="8.42578125" style="262" customWidth="1"/>
    <col min="4878" max="4878" width="4.42578125" style="262" customWidth="1"/>
    <col min="4879" max="4880" width="4.140625" style="262" customWidth="1"/>
    <col min="4881" max="4881" width="6.85546875" style="262" customWidth="1"/>
    <col min="4882" max="4882" width="4.140625" style="262" customWidth="1"/>
    <col min="4883" max="4888" width="4.42578125" style="262" customWidth="1"/>
    <col min="4889" max="4889" width="7" style="262" customWidth="1"/>
    <col min="4890" max="4890" width="0" style="262" hidden="1" customWidth="1"/>
    <col min="4891" max="4894" width="3.5703125" style="262" customWidth="1"/>
    <col min="4895" max="4896" width="3.5703125" style="262"/>
    <col min="4897" max="4898" width="0" style="262" hidden="1" customWidth="1"/>
    <col min="4899" max="4905" width="3.5703125" style="262"/>
    <col min="4906" max="4906" width="5.5703125" style="262" bestFit="1" customWidth="1"/>
    <col min="4907" max="4908" width="3.5703125" style="262"/>
    <col min="4909" max="4909" width="6.5703125" style="262" bestFit="1" customWidth="1"/>
    <col min="4910" max="4910" width="3.5703125" style="262"/>
    <col min="4911" max="4911" width="5.5703125" style="262" bestFit="1" customWidth="1"/>
    <col min="4912" max="5123" width="3.5703125" style="262"/>
    <col min="5124" max="5124" width="11.42578125" style="262" customWidth="1"/>
    <col min="5125" max="5125" width="1.85546875" style="262" customWidth="1"/>
    <col min="5126" max="5129" width="5.42578125" style="262" customWidth="1"/>
    <col min="5130" max="5130" width="10.42578125" style="262" customWidth="1"/>
    <col min="5131" max="5131" width="7.85546875" style="262" customWidth="1"/>
    <col min="5132" max="5132" width="8.85546875" style="262" customWidth="1"/>
    <col min="5133" max="5133" width="8.42578125" style="262" customWidth="1"/>
    <col min="5134" max="5134" width="4.42578125" style="262" customWidth="1"/>
    <col min="5135" max="5136" width="4.140625" style="262" customWidth="1"/>
    <col min="5137" max="5137" width="6.85546875" style="262" customWidth="1"/>
    <col min="5138" max="5138" width="4.140625" style="262" customWidth="1"/>
    <col min="5139" max="5144" width="4.42578125" style="262" customWidth="1"/>
    <col min="5145" max="5145" width="7" style="262" customWidth="1"/>
    <col min="5146" max="5146" width="0" style="262" hidden="1" customWidth="1"/>
    <col min="5147" max="5150" width="3.5703125" style="262" customWidth="1"/>
    <col min="5151" max="5152" width="3.5703125" style="262"/>
    <col min="5153" max="5154" width="0" style="262" hidden="1" customWidth="1"/>
    <col min="5155" max="5161" width="3.5703125" style="262"/>
    <col min="5162" max="5162" width="5.5703125" style="262" bestFit="1" customWidth="1"/>
    <col min="5163" max="5164" width="3.5703125" style="262"/>
    <col min="5165" max="5165" width="6.5703125" style="262" bestFit="1" customWidth="1"/>
    <col min="5166" max="5166" width="3.5703125" style="262"/>
    <col min="5167" max="5167" width="5.5703125" style="262" bestFit="1" customWidth="1"/>
    <col min="5168" max="5379" width="3.5703125" style="262"/>
    <col min="5380" max="5380" width="11.42578125" style="262" customWidth="1"/>
    <col min="5381" max="5381" width="1.85546875" style="262" customWidth="1"/>
    <col min="5382" max="5385" width="5.42578125" style="262" customWidth="1"/>
    <col min="5386" max="5386" width="10.42578125" style="262" customWidth="1"/>
    <col min="5387" max="5387" width="7.85546875" style="262" customWidth="1"/>
    <col min="5388" max="5388" width="8.85546875" style="262" customWidth="1"/>
    <col min="5389" max="5389" width="8.42578125" style="262" customWidth="1"/>
    <col min="5390" max="5390" width="4.42578125" style="262" customWidth="1"/>
    <col min="5391" max="5392" width="4.140625" style="262" customWidth="1"/>
    <col min="5393" max="5393" width="6.85546875" style="262" customWidth="1"/>
    <col min="5394" max="5394" width="4.140625" style="262" customWidth="1"/>
    <col min="5395" max="5400" width="4.42578125" style="262" customWidth="1"/>
    <col min="5401" max="5401" width="7" style="262" customWidth="1"/>
    <col min="5402" max="5402" width="0" style="262" hidden="1" customWidth="1"/>
    <col min="5403" max="5406" width="3.5703125" style="262" customWidth="1"/>
    <col min="5407" max="5408" width="3.5703125" style="262"/>
    <col min="5409" max="5410" width="0" style="262" hidden="1" customWidth="1"/>
    <col min="5411" max="5417" width="3.5703125" style="262"/>
    <col min="5418" max="5418" width="5.5703125" style="262" bestFit="1" customWidth="1"/>
    <col min="5419" max="5420" width="3.5703125" style="262"/>
    <col min="5421" max="5421" width="6.5703125" style="262" bestFit="1" customWidth="1"/>
    <col min="5422" max="5422" width="3.5703125" style="262"/>
    <col min="5423" max="5423" width="5.5703125" style="262" bestFit="1" customWidth="1"/>
    <col min="5424" max="5635" width="3.5703125" style="262"/>
    <col min="5636" max="5636" width="11.42578125" style="262" customWidth="1"/>
    <col min="5637" max="5637" width="1.85546875" style="262" customWidth="1"/>
    <col min="5638" max="5641" width="5.42578125" style="262" customWidth="1"/>
    <col min="5642" max="5642" width="10.42578125" style="262" customWidth="1"/>
    <col min="5643" max="5643" width="7.85546875" style="262" customWidth="1"/>
    <col min="5644" max="5644" width="8.85546875" style="262" customWidth="1"/>
    <col min="5645" max="5645" width="8.42578125" style="262" customWidth="1"/>
    <col min="5646" max="5646" width="4.42578125" style="262" customWidth="1"/>
    <col min="5647" max="5648" width="4.140625" style="262" customWidth="1"/>
    <col min="5649" max="5649" width="6.85546875" style="262" customWidth="1"/>
    <col min="5650" max="5650" width="4.140625" style="262" customWidth="1"/>
    <col min="5651" max="5656" width="4.42578125" style="262" customWidth="1"/>
    <col min="5657" max="5657" width="7" style="262" customWidth="1"/>
    <col min="5658" max="5658" width="0" style="262" hidden="1" customWidth="1"/>
    <col min="5659" max="5662" width="3.5703125" style="262" customWidth="1"/>
    <col min="5663" max="5664" width="3.5703125" style="262"/>
    <col min="5665" max="5666" width="0" style="262" hidden="1" customWidth="1"/>
    <col min="5667" max="5673" width="3.5703125" style="262"/>
    <col min="5674" max="5674" width="5.5703125" style="262" bestFit="1" customWidth="1"/>
    <col min="5675" max="5676" width="3.5703125" style="262"/>
    <col min="5677" max="5677" width="6.5703125" style="262" bestFit="1" customWidth="1"/>
    <col min="5678" max="5678" width="3.5703125" style="262"/>
    <col min="5679" max="5679" width="5.5703125" style="262" bestFit="1" customWidth="1"/>
    <col min="5680" max="5891" width="3.5703125" style="262"/>
    <col min="5892" max="5892" width="11.42578125" style="262" customWidth="1"/>
    <col min="5893" max="5893" width="1.85546875" style="262" customWidth="1"/>
    <col min="5894" max="5897" width="5.42578125" style="262" customWidth="1"/>
    <col min="5898" max="5898" width="10.42578125" style="262" customWidth="1"/>
    <col min="5899" max="5899" width="7.85546875" style="262" customWidth="1"/>
    <col min="5900" max="5900" width="8.85546875" style="262" customWidth="1"/>
    <col min="5901" max="5901" width="8.42578125" style="262" customWidth="1"/>
    <col min="5902" max="5902" width="4.42578125" style="262" customWidth="1"/>
    <col min="5903" max="5904" width="4.140625" style="262" customWidth="1"/>
    <col min="5905" max="5905" width="6.85546875" style="262" customWidth="1"/>
    <col min="5906" max="5906" width="4.140625" style="262" customWidth="1"/>
    <col min="5907" max="5912" width="4.42578125" style="262" customWidth="1"/>
    <col min="5913" max="5913" width="7" style="262" customWidth="1"/>
    <col min="5914" max="5914" width="0" style="262" hidden="1" customWidth="1"/>
    <col min="5915" max="5918" width="3.5703125" style="262" customWidth="1"/>
    <col min="5919" max="5920" width="3.5703125" style="262"/>
    <col min="5921" max="5922" width="0" style="262" hidden="1" customWidth="1"/>
    <col min="5923" max="5929" width="3.5703125" style="262"/>
    <col min="5930" max="5930" width="5.5703125" style="262" bestFit="1" customWidth="1"/>
    <col min="5931" max="5932" width="3.5703125" style="262"/>
    <col min="5933" max="5933" width="6.5703125" style="262" bestFit="1" customWidth="1"/>
    <col min="5934" max="5934" width="3.5703125" style="262"/>
    <col min="5935" max="5935" width="5.5703125" style="262" bestFit="1" customWidth="1"/>
    <col min="5936" max="6147" width="3.5703125" style="262"/>
    <col min="6148" max="6148" width="11.42578125" style="262" customWidth="1"/>
    <col min="6149" max="6149" width="1.85546875" style="262" customWidth="1"/>
    <col min="6150" max="6153" width="5.42578125" style="262" customWidth="1"/>
    <col min="6154" max="6154" width="10.42578125" style="262" customWidth="1"/>
    <col min="6155" max="6155" width="7.85546875" style="262" customWidth="1"/>
    <col min="6156" max="6156" width="8.85546875" style="262" customWidth="1"/>
    <col min="6157" max="6157" width="8.42578125" style="262" customWidth="1"/>
    <col min="6158" max="6158" width="4.42578125" style="262" customWidth="1"/>
    <col min="6159" max="6160" width="4.140625" style="262" customWidth="1"/>
    <col min="6161" max="6161" width="6.85546875" style="262" customWidth="1"/>
    <col min="6162" max="6162" width="4.140625" style="262" customWidth="1"/>
    <col min="6163" max="6168" width="4.42578125" style="262" customWidth="1"/>
    <col min="6169" max="6169" width="7" style="262" customWidth="1"/>
    <col min="6170" max="6170" width="0" style="262" hidden="1" customWidth="1"/>
    <col min="6171" max="6174" width="3.5703125" style="262" customWidth="1"/>
    <col min="6175" max="6176" width="3.5703125" style="262"/>
    <col min="6177" max="6178" width="0" style="262" hidden="1" customWidth="1"/>
    <col min="6179" max="6185" width="3.5703125" style="262"/>
    <col min="6186" max="6186" width="5.5703125" style="262" bestFit="1" customWidth="1"/>
    <col min="6187" max="6188" width="3.5703125" style="262"/>
    <col min="6189" max="6189" width="6.5703125" style="262" bestFit="1" customWidth="1"/>
    <col min="6190" max="6190" width="3.5703125" style="262"/>
    <col min="6191" max="6191" width="5.5703125" style="262" bestFit="1" customWidth="1"/>
    <col min="6192" max="6403" width="3.5703125" style="262"/>
    <col min="6404" max="6404" width="11.42578125" style="262" customWidth="1"/>
    <col min="6405" max="6405" width="1.85546875" style="262" customWidth="1"/>
    <col min="6406" max="6409" width="5.42578125" style="262" customWidth="1"/>
    <col min="6410" max="6410" width="10.42578125" style="262" customWidth="1"/>
    <col min="6411" max="6411" width="7.85546875" style="262" customWidth="1"/>
    <col min="6412" max="6412" width="8.85546875" style="262" customWidth="1"/>
    <col min="6413" max="6413" width="8.42578125" style="262" customWidth="1"/>
    <col min="6414" max="6414" width="4.42578125" style="262" customWidth="1"/>
    <col min="6415" max="6416" width="4.140625" style="262" customWidth="1"/>
    <col min="6417" max="6417" width="6.85546875" style="262" customWidth="1"/>
    <col min="6418" max="6418" width="4.140625" style="262" customWidth="1"/>
    <col min="6419" max="6424" width="4.42578125" style="262" customWidth="1"/>
    <col min="6425" max="6425" width="7" style="262" customWidth="1"/>
    <col min="6426" max="6426" width="0" style="262" hidden="1" customWidth="1"/>
    <col min="6427" max="6430" width="3.5703125" style="262" customWidth="1"/>
    <col min="6431" max="6432" width="3.5703125" style="262"/>
    <col min="6433" max="6434" width="0" style="262" hidden="1" customWidth="1"/>
    <col min="6435" max="6441" width="3.5703125" style="262"/>
    <col min="6442" max="6442" width="5.5703125" style="262" bestFit="1" customWidth="1"/>
    <col min="6443" max="6444" width="3.5703125" style="262"/>
    <col min="6445" max="6445" width="6.5703125" style="262" bestFit="1" customWidth="1"/>
    <col min="6446" max="6446" width="3.5703125" style="262"/>
    <col min="6447" max="6447" width="5.5703125" style="262" bestFit="1" customWidth="1"/>
    <col min="6448" max="6659" width="3.5703125" style="262"/>
    <col min="6660" max="6660" width="11.42578125" style="262" customWidth="1"/>
    <col min="6661" max="6661" width="1.85546875" style="262" customWidth="1"/>
    <col min="6662" max="6665" width="5.42578125" style="262" customWidth="1"/>
    <col min="6666" max="6666" width="10.42578125" style="262" customWidth="1"/>
    <col min="6667" max="6667" width="7.85546875" style="262" customWidth="1"/>
    <col min="6668" max="6668" width="8.85546875" style="262" customWidth="1"/>
    <col min="6669" max="6669" width="8.42578125" style="262" customWidth="1"/>
    <col min="6670" max="6670" width="4.42578125" style="262" customWidth="1"/>
    <col min="6671" max="6672" width="4.140625" style="262" customWidth="1"/>
    <col min="6673" max="6673" width="6.85546875" style="262" customWidth="1"/>
    <col min="6674" max="6674" width="4.140625" style="262" customWidth="1"/>
    <col min="6675" max="6680" width="4.42578125" style="262" customWidth="1"/>
    <col min="6681" max="6681" width="7" style="262" customWidth="1"/>
    <col min="6682" max="6682" width="0" style="262" hidden="1" customWidth="1"/>
    <col min="6683" max="6686" width="3.5703125" style="262" customWidth="1"/>
    <col min="6687" max="6688" width="3.5703125" style="262"/>
    <col min="6689" max="6690" width="0" style="262" hidden="1" customWidth="1"/>
    <col min="6691" max="6697" width="3.5703125" style="262"/>
    <col min="6698" max="6698" width="5.5703125" style="262" bestFit="1" customWidth="1"/>
    <col min="6699" max="6700" width="3.5703125" style="262"/>
    <col min="6701" max="6701" width="6.5703125" style="262" bestFit="1" customWidth="1"/>
    <col min="6702" max="6702" width="3.5703125" style="262"/>
    <col min="6703" max="6703" width="5.5703125" style="262" bestFit="1" customWidth="1"/>
    <col min="6704" max="6915" width="3.5703125" style="262"/>
    <col min="6916" max="6916" width="11.42578125" style="262" customWidth="1"/>
    <col min="6917" max="6917" width="1.85546875" style="262" customWidth="1"/>
    <col min="6918" max="6921" width="5.42578125" style="262" customWidth="1"/>
    <col min="6922" max="6922" width="10.42578125" style="262" customWidth="1"/>
    <col min="6923" max="6923" width="7.85546875" style="262" customWidth="1"/>
    <col min="6924" max="6924" width="8.85546875" style="262" customWidth="1"/>
    <col min="6925" max="6925" width="8.42578125" style="262" customWidth="1"/>
    <col min="6926" max="6926" width="4.42578125" style="262" customWidth="1"/>
    <col min="6927" max="6928" width="4.140625" style="262" customWidth="1"/>
    <col min="6929" max="6929" width="6.85546875" style="262" customWidth="1"/>
    <col min="6930" max="6930" width="4.140625" style="262" customWidth="1"/>
    <col min="6931" max="6936" width="4.42578125" style="262" customWidth="1"/>
    <col min="6937" max="6937" width="7" style="262" customWidth="1"/>
    <col min="6938" max="6938" width="0" style="262" hidden="1" customWidth="1"/>
    <col min="6939" max="6942" width="3.5703125" style="262" customWidth="1"/>
    <col min="6943" max="6944" width="3.5703125" style="262"/>
    <col min="6945" max="6946" width="0" style="262" hidden="1" customWidth="1"/>
    <col min="6947" max="6953" width="3.5703125" style="262"/>
    <col min="6954" max="6954" width="5.5703125" style="262" bestFit="1" customWidth="1"/>
    <col min="6955" max="6956" width="3.5703125" style="262"/>
    <col min="6957" max="6957" width="6.5703125" style="262" bestFit="1" customWidth="1"/>
    <col min="6958" max="6958" width="3.5703125" style="262"/>
    <col min="6959" max="6959" width="5.5703125" style="262" bestFit="1" customWidth="1"/>
    <col min="6960" max="7171" width="3.5703125" style="262"/>
    <col min="7172" max="7172" width="11.42578125" style="262" customWidth="1"/>
    <col min="7173" max="7173" width="1.85546875" style="262" customWidth="1"/>
    <col min="7174" max="7177" width="5.42578125" style="262" customWidth="1"/>
    <col min="7178" max="7178" width="10.42578125" style="262" customWidth="1"/>
    <col min="7179" max="7179" width="7.85546875" style="262" customWidth="1"/>
    <col min="7180" max="7180" width="8.85546875" style="262" customWidth="1"/>
    <col min="7181" max="7181" width="8.42578125" style="262" customWidth="1"/>
    <col min="7182" max="7182" width="4.42578125" style="262" customWidth="1"/>
    <col min="7183" max="7184" width="4.140625" style="262" customWidth="1"/>
    <col min="7185" max="7185" width="6.85546875" style="262" customWidth="1"/>
    <col min="7186" max="7186" width="4.140625" style="262" customWidth="1"/>
    <col min="7187" max="7192" width="4.42578125" style="262" customWidth="1"/>
    <col min="7193" max="7193" width="7" style="262" customWidth="1"/>
    <col min="7194" max="7194" width="0" style="262" hidden="1" customWidth="1"/>
    <col min="7195" max="7198" width="3.5703125" style="262" customWidth="1"/>
    <col min="7199" max="7200" width="3.5703125" style="262"/>
    <col min="7201" max="7202" width="0" style="262" hidden="1" customWidth="1"/>
    <col min="7203" max="7209" width="3.5703125" style="262"/>
    <col min="7210" max="7210" width="5.5703125" style="262" bestFit="1" customWidth="1"/>
    <col min="7211" max="7212" width="3.5703125" style="262"/>
    <col min="7213" max="7213" width="6.5703125" style="262" bestFit="1" customWidth="1"/>
    <col min="7214" max="7214" width="3.5703125" style="262"/>
    <col min="7215" max="7215" width="5.5703125" style="262" bestFit="1" customWidth="1"/>
    <col min="7216" max="7427" width="3.5703125" style="262"/>
    <col min="7428" max="7428" width="11.42578125" style="262" customWidth="1"/>
    <col min="7429" max="7429" width="1.85546875" style="262" customWidth="1"/>
    <col min="7430" max="7433" width="5.42578125" style="262" customWidth="1"/>
    <col min="7434" max="7434" width="10.42578125" style="262" customWidth="1"/>
    <col min="7435" max="7435" width="7.85546875" style="262" customWidth="1"/>
    <col min="7436" max="7436" width="8.85546875" style="262" customWidth="1"/>
    <col min="7437" max="7437" width="8.42578125" style="262" customWidth="1"/>
    <col min="7438" max="7438" width="4.42578125" style="262" customWidth="1"/>
    <col min="7439" max="7440" width="4.140625" style="262" customWidth="1"/>
    <col min="7441" max="7441" width="6.85546875" style="262" customWidth="1"/>
    <col min="7442" max="7442" width="4.140625" style="262" customWidth="1"/>
    <col min="7443" max="7448" width="4.42578125" style="262" customWidth="1"/>
    <col min="7449" max="7449" width="7" style="262" customWidth="1"/>
    <col min="7450" max="7450" width="0" style="262" hidden="1" customWidth="1"/>
    <col min="7451" max="7454" width="3.5703125" style="262" customWidth="1"/>
    <col min="7455" max="7456" width="3.5703125" style="262"/>
    <col min="7457" max="7458" width="0" style="262" hidden="1" customWidth="1"/>
    <col min="7459" max="7465" width="3.5703125" style="262"/>
    <col min="7466" max="7466" width="5.5703125" style="262" bestFit="1" customWidth="1"/>
    <col min="7467" max="7468" width="3.5703125" style="262"/>
    <col min="7469" max="7469" width="6.5703125" style="262" bestFit="1" customWidth="1"/>
    <col min="7470" max="7470" width="3.5703125" style="262"/>
    <col min="7471" max="7471" width="5.5703125" style="262" bestFit="1" customWidth="1"/>
    <col min="7472" max="7683" width="3.5703125" style="262"/>
    <col min="7684" max="7684" width="11.42578125" style="262" customWidth="1"/>
    <col min="7685" max="7685" width="1.85546875" style="262" customWidth="1"/>
    <col min="7686" max="7689" width="5.42578125" style="262" customWidth="1"/>
    <col min="7690" max="7690" width="10.42578125" style="262" customWidth="1"/>
    <col min="7691" max="7691" width="7.85546875" style="262" customWidth="1"/>
    <col min="7692" max="7692" width="8.85546875" style="262" customWidth="1"/>
    <col min="7693" max="7693" width="8.42578125" style="262" customWidth="1"/>
    <col min="7694" max="7694" width="4.42578125" style="262" customWidth="1"/>
    <col min="7695" max="7696" width="4.140625" style="262" customWidth="1"/>
    <col min="7697" max="7697" width="6.85546875" style="262" customWidth="1"/>
    <col min="7698" max="7698" width="4.140625" style="262" customWidth="1"/>
    <col min="7699" max="7704" width="4.42578125" style="262" customWidth="1"/>
    <col min="7705" max="7705" width="7" style="262" customWidth="1"/>
    <col min="7706" max="7706" width="0" style="262" hidden="1" customWidth="1"/>
    <col min="7707" max="7710" width="3.5703125" style="262" customWidth="1"/>
    <col min="7711" max="7712" width="3.5703125" style="262"/>
    <col min="7713" max="7714" width="0" style="262" hidden="1" customWidth="1"/>
    <col min="7715" max="7721" width="3.5703125" style="262"/>
    <col min="7722" max="7722" width="5.5703125" style="262" bestFit="1" customWidth="1"/>
    <col min="7723" max="7724" width="3.5703125" style="262"/>
    <col min="7725" max="7725" width="6.5703125" style="262" bestFit="1" customWidth="1"/>
    <col min="7726" max="7726" width="3.5703125" style="262"/>
    <col min="7727" max="7727" width="5.5703125" style="262" bestFit="1" customWidth="1"/>
    <col min="7728" max="7939" width="3.5703125" style="262"/>
    <col min="7940" max="7940" width="11.42578125" style="262" customWidth="1"/>
    <col min="7941" max="7941" width="1.85546875" style="262" customWidth="1"/>
    <col min="7942" max="7945" width="5.42578125" style="262" customWidth="1"/>
    <col min="7946" max="7946" width="10.42578125" style="262" customWidth="1"/>
    <col min="7947" max="7947" width="7.85546875" style="262" customWidth="1"/>
    <col min="7948" max="7948" width="8.85546875" style="262" customWidth="1"/>
    <col min="7949" max="7949" width="8.42578125" style="262" customWidth="1"/>
    <col min="7950" max="7950" width="4.42578125" style="262" customWidth="1"/>
    <col min="7951" max="7952" width="4.140625" style="262" customWidth="1"/>
    <col min="7953" max="7953" width="6.85546875" style="262" customWidth="1"/>
    <col min="7954" max="7954" width="4.140625" style="262" customWidth="1"/>
    <col min="7955" max="7960" width="4.42578125" style="262" customWidth="1"/>
    <col min="7961" max="7961" width="7" style="262" customWidth="1"/>
    <col min="7962" max="7962" width="0" style="262" hidden="1" customWidth="1"/>
    <col min="7963" max="7966" width="3.5703125" style="262" customWidth="1"/>
    <col min="7967" max="7968" width="3.5703125" style="262"/>
    <col min="7969" max="7970" width="0" style="262" hidden="1" customWidth="1"/>
    <col min="7971" max="7977" width="3.5703125" style="262"/>
    <col min="7978" max="7978" width="5.5703125" style="262" bestFit="1" customWidth="1"/>
    <col min="7979" max="7980" width="3.5703125" style="262"/>
    <col min="7981" max="7981" width="6.5703125" style="262" bestFit="1" customWidth="1"/>
    <col min="7982" max="7982" width="3.5703125" style="262"/>
    <col min="7983" max="7983" width="5.5703125" style="262" bestFit="1" customWidth="1"/>
    <col min="7984" max="8195" width="3.5703125" style="262"/>
    <col min="8196" max="8196" width="11.42578125" style="262" customWidth="1"/>
    <col min="8197" max="8197" width="1.85546875" style="262" customWidth="1"/>
    <col min="8198" max="8201" width="5.42578125" style="262" customWidth="1"/>
    <col min="8202" max="8202" width="10.42578125" style="262" customWidth="1"/>
    <col min="8203" max="8203" width="7.85546875" style="262" customWidth="1"/>
    <col min="8204" max="8204" width="8.85546875" style="262" customWidth="1"/>
    <col min="8205" max="8205" width="8.42578125" style="262" customWidth="1"/>
    <col min="8206" max="8206" width="4.42578125" style="262" customWidth="1"/>
    <col min="8207" max="8208" width="4.140625" style="262" customWidth="1"/>
    <col min="8209" max="8209" width="6.85546875" style="262" customWidth="1"/>
    <col min="8210" max="8210" width="4.140625" style="262" customWidth="1"/>
    <col min="8211" max="8216" width="4.42578125" style="262" customWidth="1"/>
    <col min="8217" max="8217" width="7" style="262" customWidth="1"/>
    <col min="8218" max="8218" width="0" style="262" hidden="1" customWidth="1"/>
    <col min="8219" max="8222" width="3.5703125" style="262" customWidth="1"/>
    <col min="8223" max="8224" width="3.5703125" style="262"/>
    <col min="8225" max="8226" width="0" style="262" hidden="1" customWidth="1"/>
    <col min="8227" max="8233" width="3.5703125" style="262"/>
    <col min="8234" max="8234" width="5.5703125" style="262" bestFit="1" customWidth="1"/>
    <col min="8235" max="8236" width="3.5703125" style="262"/>
    <col min="8237" max="8237" width="6.5703125" style="262" bestFit="1" customWidth="1"/>
    <col min="8238" max="8238" width="3.5703125" style="262"/>
    <col min="8239" max="8239" width="5.5703125" style="262" bestFit="1" customWidth="1"/>
    <col min="8240" max="8451" width="3.5703125" style="262"/>
    <col min="8452" max="8452" width="11.42578125" style="262" customWidth="1"/>
    <col min="8453" max="8453" width="1.85546875" style="262" customWidth="1"/>
    <col min="8454" max="8457" width="5.42578125" style="262" customWidth="1"/>
    <col min="8458" max="8458" width="10.42578125" style="262" customWidth="1"/>
    <col min="8459" max="8459" width="7.85546875" style="262" customWidth="1"/>
    <col min="8460" max="8460" width="8.85546875" style="262" customWidth="1"/>
    <col min="8461" max="8461" width="8.42578125" style="262" customWidth="1"/>
    <col min="8462" max="8462" width="4.42578125" style="262" customWidth="1"/>
    <col min="8463" max="8464" width="4.140625" style="262" customWidth="1"/>
    <col min="8465" max="8465" width="6.85546875" style="262" customWidth="1"/>
    <col min="8466" max="8466" width="4.140625" style="262" customWidth="1"/>
    <col min="8467" max="8472" width="4.42578125" style="262" customWidth="1"/>
    <col min="8473" max="8473" width="7" style="262" customWidth="1"/>
    <col min="8474" max="8474" width="0" style="262" hidden="1" customWidth="1"/>
    <col min="8475" max="8478" width="3.5703125" style="262" customWidth="1"/>
    <col min="8479" max="8480" width="3.5703125" style="262"/>
    <col min="8481" max="8482" width="0" style="262" hidden="1" customWidth="1"/>
    <col min="8483" max="8489" width="3.5703125" style="262"/>
    <col min="8490" max="8490" width="5.5703125" style="262" bestFit="1" customWidth="1"/>
    <col min="8491" max="8492" width="3.5703125" style="262"/>
    <col min="8493" max="8493" width="6.5703125" style="262" bestFit="1" customWidth="1"/>
    <col min="8494" max="8494" width="3.5703125" style="262"/>
    <col min="8495" max="8495" width="5.5703125" style="262" bestFit="1" customWidth="1"/>
    <col min="8496" max="8707" width="3.5703125" style="262"/>
    <col min="8708" max="8708" width="11.42578125" style="262" customWidth="1"/>
    <col min="8709" max="8709" width="1.85546875" style="262" customWidth="1"/>
    <col min="8710" max="8713" width="5.42578125" style="262" customWidth="1"/>
    <col min="8714" max="8714" width="10.42578125" style="262" customWidth="1"/>
    <col min="8715" max="8715" width="7.85546875" style="262" customWidth="1"/>
    <col min="8716" max="8716" width="8.85546875" style="262" customWidth="1"/>
    <col min="8717" max="8717" width="8.42578125" style="262" customWidth="1"/>
    <col min="8718" max="8718" width="4.42578125" style="262" customWidth="1"/>
    <col min="8719" max="8720" width="4.140625" style="262" customWidth="1"/>
    <col min="8721" max="8721" width="6.85546875" style="262" customWidth="1"/>
    <col min="8722" max="8722" width="4.140625" style="262" customWidth="1"/>
    <col min="8723" max="8728" width="4.42578125" style="262" customWidth="1"/>
    <col min="8729" max="8729" width="7" style="262" customWidth="1"/>
    <col min="8730" max="8730" width="0" style="262" hidden="1" customWidth="1"/>
    <col min="8731" max="8734" width="3.5703125" style="262" customWidth="1"/>
    <col min="8735" max="8736" width="3.5703125" style="262"/>
    <col min="8737" max="8738" width="0" style="262" hidden="1" customWidth="1"/>
    <col min="8739" max="8745" width="3.5703125" style="262"/>
    <col min="8746" max="8746" width="5.5703125" style="262" bestFit="1" customWidth="1"/>
    <col min="8747" max="8748" width="3.5703125" style="262"/>
    <col min="8749" max="8749" width="6.5703125" style="262" bestFit="1" customWidth="1"/>
    <col min="8750" max="8750" width="3.5703125" style="262"/>
    <col min="8751" max="8751" width="5.5703125" style="262" bestFit="1" customWidth="1"/>
    <col min="8752" max="8963" width="3.5703125" style="262"/>
    <col min="8964" max="8964" width="11.42578125" style="262" customWidth="1"/>
    <col min="8965" max="8965" width="1.85546875" style="262" customWidth="1"/>
    <col min="8966" max="8969" width="5.42578125" style="262" customWidth="1"/>
    <col min="8970" max="8970" width="10.42578125" style="262" customWidth="1"/>
    <col min="8971" max="8971" width="7.85546875" style="262" customWidth="1"/>
    <col min="8972" max="8972" width="8.85546875" style="262" customWidth="1"/>
    <col min="8973" max="8973" width="8.42578125" style="262" customWidth="1"/>
    <col min="8974" max="8974" width="4.42578125" style="262" customWidth="1"/>
    <col min="8975" max="8976" width="4.140625" style="262" customWidth="1"/>
    <col min="8977" max="8977" width="6.85546875" style="262" customWidth="1"/>
    <col min="8978" max="8978" width="4.140625" style="262" customWidth="1"/>
    <col min="8979" max="8984" width="4.42578125" style="262" customWidth="1"/>
    <col min="8985" max="8985" width="7" style="262" customWidth="1"/>
    <col min="8986" max="8986" width="0" style="262" hidden="1" customWidth="1"/>
    <col min="8987" max="8990" width="3.5703125" style="262" customWidth="1"/>
    <col min="8991" max="8992" width="3.5703125" style="262"/>
    <col min="8993" max="8994" width="0" style="262" hidden="1" customWidth="1"/>
    <col min="8995" max="9001" width="3.5703125" style="262"/>
    <col min="9002" max="9002" width="5.5703125" style="262" bestFit="1" customWidth="1"/>
    <col min="9003" max="9004" width="3.5703125" style="262"/>
    <col min="9005" max="9005" width="6.5703125" style="262" bestFit="1" customWidth="1"/>
    <col min="9006" max="9006" width="3.5703125" style="262"/>
    <col min="9007" max="9007" width="5.5703125" style="262" bestFit="1" customWidth="1"/>
    <col min="9008" max="9219" width="3.5703125" style="262"/>
    <col min="9220" max="9220" width="11.42578125" style="262" customWidth="1"/>
    <col min="9221" max="9221" width="1.85546875" style="262" customWidth="1"/>
    <col min="9222" max="9225" width="5.42578125" style="262" customWidth="1"/>
    <col min="9226" max="9226" width="10.42578125" style="262" customWidth="1"/>
    <col min="9227" max="9227" width="7.85546875" style="262" customWidth="1"/>
    <col min="9228" max="9228" width="8.85546875" style="262" customWidth="1"/>
    <col min="9229" max="9229" width="8.42578125" style="262" customWidth="1"/>
    <col min="9230" max="9230" width="4.42578125" style="262" customWidth="1"/>
    <col min="9231" max="9232" width="4.140625" style="262" customWidth="1"/>
    <col min="9233" max="9233" width="6.85546875" style="262" customWidth="1"/>
    <col min="9234" max="9234" width="4.140625" style="262" customWidth="1"/>
    <col min="9235" max="9240" width="4.42578125" style="262" customWidth="1"/>
    <col min="9241" max="9241" width="7" style="262" customWidth="1"/>
    <col min="9242" max="9242" width="0" style="262" hidden="1" customWidth="1"/>
    <col min="9243" max="9246" width="3.5703125" style="262" customWidth="1"/>
    <col min="9247" max="9248" width="3.5703125" style="262"/>
    <col min="9249" max="9250" width="0" style="262" hidden="1" customWidth="1"/>
    <col min="9251" max="9257" width="3.5703125" style="262"/>
    <col min="9258" max="9258" width="5.5703125" style="262" bestFit="1" customWidth="1"/>
    <col min="9259" max="9260" width="3.5703125" style="262"/>
    <col min="9261" max="9261" width="6.5703125" style="262" bestFit="1" customWidth="1"/>
    <col min="9262" max="9262" width="3.5703125" style="262"/>
    <col min="9263" max="9263" width="5.5703125" style="262" bestFit="1" customWidth="1"/>
    <col min="9264" max="9475" width="3.5703125" style="262"/>
    <col min="9476" max="9476" width="11.42578125" style="262" customWidth="1"/>
    <col min="9477" max="9477" width="1.85546875" style="262" customWidth="1"/>
    <col min="9478" max="9481" width="5.42578125" style="262" customWidth="1"/>
    <col min="9482" max="9482" width="10.42578125" style="262" customWidth="1"/>
    <col min="9483" max="9483" width="7.85546875" style="262" customWidth="1"/>
    <col min="9484" max="9484" width="8.85546875" style="262" customWidth="1"/>
    <col min="9485" max="9485" width="8.42578125" style="262" customWidth="1"/>
    <col min="9486" max="9486" width="4.42578125" style="262" customWidth="1"/>
    <col min="9487" max="9488" width="4.140625" style="262" customWidth="1"/>
    <col min="9489" max="9489" width="6.85546875" style="262" customWidth="1"/>
    <col min="9490" max="9490" width="4.140625" style="262" customWidth="1"/>
    <col min="9491" max="9496" width="4.42578125" style="262" customWidth="1"/>
    <col min="9497" max="9497" width="7" style="262" customWidth="1"/>
    <col min="9498" max="9498" width="0" style="262" hidden="1" customWidth="1"/>
    <col min="9499" max="9502" width="3.5703125" style="262" customWidth="1"/>
    <col min="9503" max="9504" width="3.5703125" style="262"/>
    <col min="9505" max="9506" width="0" style="262" hidden="1" customWidth="1"/>
    <col min="9507" max="9513" width="3.5703125" style="262"/>
    <col min="9514" max="9514" width="5.5703125" style="262" bestFit="1" customWidth="1"/>
    <col min="9515" max="9516" width="3.5703125" style="262"/>
    <col min="9517" max="9517" width="6.5703125" style="262" bestFit="1" customWidth="1"/>
    <col min="9518" max="9518" width="3.5703125" style="262"/>
    <col min="9519" max="9519" width="5.5703125" style="262" bestFit="1" customWidth="1"/>
    <col min="9520" max="9731" width="3.5703125" style="262"/>
    <col min="9732" max="9732" width="11.42578125" style="262" customWidth="1"/>
    <col min="9733" max="9733" width="1.85546875" style="262" customWidth="1"/>
    <col min="9734" max="9737" width="5.42578125" style="262" customWidth="1"/>
    <col min="9738" max="9738" width="10.42578125" style="262" customWidth="1"/>
    <col min="9739" max="9739" width="7.85546875" style="262" customWidth="1"/>
    <col min="9740" max="9740" width="8.85546875" style="262" customWidth="1"/>
    <col min="9741" max="9741" width="8.42578125" style="262" customWidth="1"/>
    <col min="9742" max="9742" width="4.42578125" style="262" customWidth="1"/>
    <col min="9743" max="9744" width="4.140625" style="262" customWidth="1"/>
    <col min="9745" max="9745" width="6.85546875" style="262" customWidth="1"/>
    <col min="9746" max="9746" width="4.140625" style="262" customWidth="1"/>
    <col min="9747" max="9752" width="4.42578125" style="262" customWidth="1"/>
    <col min="9753" max="9753" width="7" style="262" customWidth="1"/>
    <col min="9754" max="9754" width="0" style="262" hidden="1" customWidth="1"/>
    <col min="9755" max="9758" width="3.5703125" style="262" customWidth="1"/>
    <col min="9759" max="9760" width="3.5703125" style="262"/>
    <col min="9761" max="9762" width="0" style="262" hidden="1" customWidth="1"/>
    <col min="9763" max="9769" width="3.5703125" style="262"/>
    <col min="9770" max="9770" width="5.5703125" style="262" bestFit="1" customWidth="1"/>
    <col min="9771" max="9772" width="3.5703125" style="262"/>
    <col min="9773" max="9773" width="6.5703125" style="262" bestFit="1" customWidth="1"/>
    <col min="9774" max="9774" width="3.5703125" style="262"/>
    <col min="9775" max="9775" width="5.5703125" style="262" bestFit="1" customWidth="1"/>
    <col min="9776" max="9987" width="3.5703125" style="262"/>
    <col min="9988" max="9988" width="11.42578125" style="262" customWidth="1"/>
    <col min="9989" max="9989" width="1.85546875" style="262" customWidth="1"/>
    <col min="9990" max="9993" width="5.42578125" style="262" customWidth="1"/>
    <col min="9994" max="9994" width="10.42578125" style="262" customWidth="1"/>
    <col min="9995" max="9995" width="7.85546875" style="262" customWidth="1"/>
    <col min="9996" max="9996" width="8.85546875" style="262" customWidth="1"/>
    <col min="9997" max="9997" width="8.42578125" style="262" customWidth="1"/>
    <col min="9998" max="9998" width="4.42578125" style="262" customWidth="1"/>
    <col min="9999" max="10000" width="4.140625" style="262" customWidth="1"/>
    <col min="10001" max="10001" width="6.85546875" style="262" customWidth="1"/>
    <col min="10002" max="10002" width="4.140625" style="262" customWidth="1"/>
    <col min="10003" max="10008" width="4.42578125" style="262" customWidth="1"/>
    <col min="10009" max="10009" width="7" style="262" customWidth="1"/>
    <col min="10010" max="10010" width="0" style="262" hidden="1" customWidth="1"/>
    <col min="10011" max="10014" width="3.5703125" style="262" customWidth="1"/>
    <col min="10015" max="10016" width="3.5703125" style="262"/>
    <col min="10017" max="10018" width="0" style="262" hidden="1" customWidth="1"/>
    <col min="10019" max="10025" width="3.5703125" style="262"/>
    <col min="10026" max="10026" width="5.5703125" style="262" bestFit="1" customWidth="1"/>
    <col min="10027" max="10028" width="3.5703125" style="262"/>
    <col min="10029" max="10029" width="6.5703125" style="262" bestFit="1" customWidth="1"/>
    <col min="10030" max="10030" width="3.5703125" style="262"/>
    <col min="10031" max="10031" width="5.5703125" style="262" bestFit="1" customWidth="1"/>
    <col min="10032" max="10243" width="3.5703125" style="262"/>
    <col min="10244" max="10244" width="11.42578125" style="262" customWidth="1"/>
    <col min="10245" max="10245" width="1.85546875" style="262" customWidth="1"/>
    <col min="10246" max="10249" width="5.42578125" style="262" customWidth="1"/>
    <col min="10250" max="10250" width="10.42578125" style="262" customWidth="1"/>
    <col min="10251" max="10251" width="7.85546875" style="262" customWidth="1"/>
    <col min="10252" max="10252" width="8.85546875" style="262" customWidth="1"/>
    <col min="10253" max="10253" width="8.42578125" style="262" customWidth="1"/>
    <col min="10254" max="10254" width="4.42578125" style="262" customWidth="1"/>
    <col min="10255" max="10256" width="4.140625" style="262" customWidth="1"/>
    <col min="10257" max="10257" width="6.85546875" style="262" customWidth="1"/>
    <col min="10258" max="10258" width="4.140625" style="262" customWidth="1"/>
    <col min="10259" max="10264" width="4.42578125" style="262" customWidth="1"/>
    <col min="10265" max="10265" width="7" style="262" customWidth="1"/>
    <col min="10266" max="10266" width="0" style="262" hidden="1" customWidth="1"/>
    <col min="10267" max="10270" width="3.5703125" style="262" customWidth="1"/>
    <col min="10271" max="10272" width="3.5703125" style="262"/>
    <col min="10273" max="10274" width="0" style="262" hidden="1" customWidth="1"/>
    <col min="10275" max="10281" width="3.5703125" style="262"/>
    <col min="10282" max="10282" width="5.5703125" style="262" bestFit="1" customWidth="1"/>
    <col min="10283" max="10284" width="3.5703125" style="262"/>
    <col min="10285" max="10285" width="6.5703125" style="262" bestFit="1" customWidth="1"/>
    <col min="10286" max="10286" width="3.5703125" style="262"/>
    <col min="10287" max="10287" width="5.5703125" style="262" bestFit="1" customWidth="1"/>
    <col min="10288" max="10499" width="3.5703125" style="262"/>
    <col min="10500" max="10500" width="11.42578125" style="262" customWidth="1"/>
    <col min="10501" max="10501" width="1.85546875" style="262" customWidth="1"/>
    <col min="10502" max="10505" width="5.42578125" style="262" customWidth="1"/>
    <col min="10506" max="10506" width="10.42578125" style="262" customWidth="1"/>
    <col min="10507" max="10507" width="7.85546875" style="262" customWidth="1"/>
    <col min="10508" max="10508" width="8.85546875" style="262" customWidth="1"/>
    <col min="10509" max="10509" width="8.42578125" style="262" customWidth="1"/>
    <col min="10510" max="10510" width="4.42578125" style="262" customWidth="1"/>
    <col min="10511" max="10512" width="4.140625" style="262" customWidth="1"/>
    <col min="10513" max="10513" width="6.85546875" style="262" customWidth="1"/>
    <col min="10514" max="10514" width="4.140625" style="262" customWidth="1"/>
    <col min="10515" max="10520" width="4.42578125" style="262" customWidth="1"/>
    <col min="10521" max="10521" width="7" style="262" customWidth="1"/>
    <col min="10522" max="10522" width="0" style="262" hidden="1" customWidth="1"/>
    <col min="10523" max="10526" width="3.5703125" style="262" customWidth="1"/>
    <col min="10527" max="10528" width="3.5703125" style="262"/>
    <col min="10529" max="10530" width="0" style="262" hidden="1" customWidth="1"/>
    <col min="10531" max="10537" width="3.5703125" style="262"/>
    <col min="10538" max="10538" width="5.5703125" style="262" bestFit="1" customWidth="1"/>
    <col min="10539" max="10540" width="3.5703125" style="262"/>
    <col min="10541" max="10541" width="6.5703125" style="262" bestFit="1" customWidth="1"/>
    <col min="10542" max="10542" width="3.5703125" style="262"/>
    <col min="10543" max="10543" width="5.5703125" style="262" bestFit="1" customWidth="1"/>
    <col min="10544" max="10755" width="3.5703125" style="262"/>
    <col min="10756" max="10756" width="11.42578125" style="262" customWidth="1"/>
    <col min="10757" max="10757" width="1.85546875" style="262" customWidth="1"/>
    <col min="10758" max="10761" width="5.42578125" style="262" customWidth="1"/>
    <col min="10762" max="10762" width="10.42578125" style="262" customWidth="1"/>
    <col min="10763" max="10763" width="7.85546875" style="262" customWidth="1"/>
    <col min="10764" max="10764" width="8.85546875" style="262" customWidth="1"/>
    <col min="10765" max="10765" width="8.42578125" style="262" customWidth="1"/>
    <col min="10766" max="10766" width="4.42578125" style="262" customWidth="1"/>
    <col min="10767" max="10768" width="4.140625" style="262" customWidth="1"/>
    <col min="10769" max="10769" width="6.85546875" style="262" customWidth="1"/>
    <col min="10770" max="10770" width="4.140625" style="262" customWidth="1"/>
    <col min="10771" max="10776" width="4.42578125" style="262" customWidth="1"/>
    <col min="10777" max="10777" width="7" style="262" customWidth="1"/>
    <col min="10778" max="10778" width="0" style="262" hidden="1" customWidth="1"/>
    <col min="10779" max="10782" width="3.5703125" style="262" customWidth="1"/>
    <col min="10783" max="10784" width="3.5703125" style="262"/>
    <col min="10785" max="10786" width="0" style="262" hidden="1" customWidth="1"/>
    <col min="10787" max="10793" width="3.5703125" style="262"/>
    <col min="10794" max="10794" width="5.5703125" style="262" bestFit="1" customWidth="1"/>
    <col min="10795" max="10796" width="3.5703125" style="262"/>
    <col min="10797" max="10797" width="6.5703125" style="262" bestFit="1" customWidth="1"/>
    <col min="10798" max="10798" width="3.5703125" style="262"/>
    <col min="10799" max="10799" width="5.5703125" style="262" bestFit="1" customWidth="1"/>
    <col min="10800" max="11011" width="3.5703125" style="262"/>
    <col min="11012" max="11012" width="11.42578125" style="262" customWidth="1"/>
    <col min="11013" max="11013" width="1.85546875" style="262" customWidth="1"/>
    <col min="11014" max="11017" width="5.42578125" style="262" customWidth="1"/>
    <col min="11018" max="11018" width="10.42578125" style="262" customWidth="1"/>
    <col min="11019" max="11019" width="7.85546875" style="262" customWidth="1"/>
    <col min="11020" max="11020" width="8.85546875" style="262" customWidth="1"/>
    <col min="11021" max="11021" width="8.42578125" style="262" customWidth="1"/>
    <col min="11022" max="11022" width="4.42578125" style="262" customWidth="1"/>
    <col min="11023" max="11024" width="4.140625" style="262" customWidth="1"/>
    <col min="11025" max="11025" width="6.85546875" style="262" customWidth="1"/>
    <col min="11026" max="11026" width="4.140625" style="262" customWidth="1"/>
    <col min="11027" max="11032" width="4.42578125" style="262" customWidth="1"/>
    <col min="11033" max="11033" width="7" style="262" customWidth="1"/>
    <col min="11034" max="11034" width="0" style="262" hidden="1" customWidth="1"/>
    <col min="11035" max="11038" width="3.5703125" style="262" customWidth="1"/>
    <col min="11039" max="11040" width="3.5703125" style="262"/>
    <col min="11041" max="11042" width="0" style="262" hidden="1" customWidth="1"/>
    <col min="11043" max="11049" width="3.5703125" style="262"/>
    <col min="11050" max="11050" width="5.5703125" style="262" bestFit="1" customWidth="1"/>
    <col min="11051" max="11052" width="3.5703125" style="262"/>
    <col min="11053" max="11053" width="6.5703125" style="262" bestFit="1" customWidth="1"/>
    <col min="11054" max="11054" width="3.5703125" style="262"/>
    <col min="11055" max="11055" width="5.5703125" style="262" bestFit="1" customWidth="1"/>
    <col min="11056" max="11267" width="3.5703125" style="262"/>
    <col min="11268" max="11268" width="11.42578125" style="262" customWidth="1"/>
    <col min="11269" max="11269" width="1.85546875" style="262" customWidth="1"/>
    <col min="11270" max="11273" width="5.42578125" style="262" customWidth="1"/>
    <col min="11274" max="11274" width="10.42578125" style="262" customWidth="1"/>
    <col min="11275" max="11275" width="7.85546875" style="262" customWidth="1"/>
    <col min="11276" max="11276" width="8.85546875" style="262" customWidth="1"/>
    <col min="11277" max="11277" width="8.42578125" style="262" customWidth="1"/>
    <col min="11278" max="11278" width="4.42578125" style="262" customWidth="1"/>
    <col min="11279" max="11280" width="4.140625" style="262" customWidth="1"/>
    <col min="11281" max="11281" width="6.85546875" style="262" customWidth="1"/>
    <col min="11282" max="11282" width="4.140625" style="262" customWidth="1"/>
    <col min="11283" max="11288" width="4.42578125" style="262" customWidth="1"/>
    <col min="11289" max="11289" width="7" style="262" customWidth="1"/>
    <col min="11290" max="11290" width="0" style="262" hidden="1" customWidth="1"/>
    <col min="11291" max="11294" width="3.5703125" style="262" customWidth="1"/>
    <col min="11295" max="11296" width="3.5703125" style="262"/>
    <col min="11297" max="11298" width="0" style="262" hidden="1" customWidth="1"/>
    <col min="11299" max="11305" width="3.5703125" style="262"/>
    <col min="11306" max="11306" width="5.5703125" style="262" bestFit="1" customWidth="1"/>
    <col min="11307" max="11308" width="3.5703125" style="262"/>
    <col min="11309" max="11309" width="6.5703125" style="262" bestFit="1" customWidth="1"/>
    <col min="11310" max="11310" width="3.5703125" style="262"/>
    <col min="11311" max="11311" width="5.5703125" style="262" bestFit="1" customWidth="1"/>
    <col min="11312" max="11523" width="3.5703125" style="262"/>
    <col min="11524" max="11524" width="11.42578125" style="262" customWidth="1"/>
    <col min="11525" max="11525" width="1.85546875" style="262" customWidth="1"/>
    <col min="11526" max="11529" width="5.42578125" style="262" customWidth="1"/>
    <col min="11530" max="11530" width="10.42578125" style="262" customWidth="1"/>
    <col min="11531" max="11531" width="7.85546875" style="262" customWidth="1"/>
    <col min="11532" max="11532" width="8.85546875" style="262" customWidth="1"/>
    <col min="11533" max="11533" width="8.42578125" style="262" customWidth="1"/>
    <col min="11534" max="11534" width="4.42578125" style="262" customWidth="1"/>
    <col min="11535" max="11536" width="4.140625" style="262" customWidth="1"/>
    <col min="11537" max="11537" width="6.85546875" style="262" customWidth="1"/>
    <col min="11538" max="11538" width="4.140625" style="262" customWidth="1"/>
    <col min="11539" max="11544" width="4.42578125" style="262" customWidth="1"/>
    <col min="11545" max="11545" width="7" style="262" customWidth="1"/>
    <col min="11546" max="11546" width="0" style="262" hidden="1" customWidth="1"/>
    <col min="11547" max="11550" width="3.5703125" style="262" customWidth="1"/>
    <col min="11551" max="11552" width="3.5703125" style="262"/>
    <col min="11553" max="11554" width="0" style="262" hidden="1" customWidth="1"/>
    <col min="11555" max="11561" width="3.5703125" style="262"/>
    <col min="11562" max="11562" width="5.5703125" style="262" bestFit="1" customWidth="1"/>
    <col min="11563" max="11564" width="3.5703125" style="262"/>
    <col min="11565" max="11565" width="6.5703125" style="262" bestFit="1" customWidth="1"/>
    <col min="11566" max="11566" width="3.5703125" style="262"/>
    <col min="11567" max="11567" width="5.5703125" style="262" bestFit="1" customWidth="1"/>
    <col min="11568" max="11779" width="3.5703125" style="262"/>
    <col min="11780" max="11780" width="11.42578125" style="262" customWidth="1"/>
    <col min="11781" max="11781" width="1.85546875" style="262" customWidth="1"/>
    <col min="11782" max="11785" width="5.42578125" style="262" customWidth="1"/>
    <col min="11786" max="11786" width="10.42578125" style="262" customWidth="1"/>
    <col min="11787" max="11787" width="7.85546875" style="262" customWidth="1"/>
    <col min="11788" max="11788" width="8.85546875" style="262" customWidth="1"/>
    <col min="11789" max="11789" width="8.42578125" style="262" customWidth="1"/>
    <col min="11790" max="11790" width="4.42578125" style="262" customWidth="1"/>
    <col min="11791" max="11792" width="4.140625" style="262" customWidth="1"/>
    <col min="11793" max="11793" width="6.85546875" style="262" customWidth="1"/>
    <col min="11794" max="11794" width="4.140625" style="262" customWidth="1"/>
    <col min="11795" max="11800" width="4.42578125" style="262" customWidth="1"/>
    <col min="11801" max="11801" width="7" style="262" customWidth="1"/>
    <col min="11802" max="11802" width="0" style="262" hidden="1" customWidth="1"/>
    <col min="11803" max="11806" width="3.5703125" style="262" customWidth="1"/>
    <col min="11807" max="11808" width="3.5703125" style="262"/>
    <col min="11809" max="11810" width="0" style="262" hidden="1" customWidth="1"/>
    <col min="11811" max="11817" width="3.5703125" style="262"/>
    <col min="11818" max="11818" width="5.5703125" style="262" bestFit="1" customWidth="1"/>
    <col min="11819" max="11820" width="3.5703125" style="262"/>
    <col min="11821" max="11821" width="6.5703125" style="262" bestFit="1" customWidth="1"/>
    <col min="11822" max="11822" width="3.5703125" style="262"/>
    <col min="11823" max="11823" width="5.5703125" style="262" bestFit="1" customWidth="1"/>
    <col min="11824" max="12035" width="3.5703125" style="262"/>
    <col min="12036" max="12036" width="11.42578125" style="262" customWidth="1"/>
    <col min="12037" max="12037" width="1.85546875" style="262" customWidth="1"/>
    <col min="12038" max="12041" width="5.42578125" style="262" customWidth="1"/>
    <col min="12042" max="12042" width="10.42578125" style="262" customWidth="1"/>
    <col min="12043" max="12043" width="7.85546875" style="262" customWidth="1"/>
    <col min="12044" max="12044" width="8.85546875" style="262" customWidth="1"/>
    <col min="12045" max="12045" width="8.42578125" style="262" customWidth="1"/>
    <col min="12046" max="12046" width="4.42578125" style="262" customWidth="1"/>
    <col min="12047" max="12048" width="4.140625" style="262" customWidth="1"/>
    <col min="12049" max="12049" width="6.85546875" style="262" customWidth="1"/>
    <col min="12050" max="12050" width="4.140625" style="262" customWidth="1"/>
    <col min="12051" max="12056" width="4.42578125" style="262" customWidth="1"/>
    <col min="12057" max="12057" width="7" style="262" customWidth="1"/>
    <col min="12058" max="12058" width="0" style="262" hidden="1" customWidth="1"/>
    <col min="12059" max="12062" width="3.5703125" style="262" customWidth="1"/>
    <col min="12063" max="12064" width="3.5703125" style="262"/>
    <col min="12065" max="12066" width="0" style="262" hidden="1" customWidth="1"/>
    <col min="12067" max="12073" width="3.5703125" style="262"/>
    <col min="12074" max="12074" width="5.5703125" style="262" bestFit="1" customWidth="1"/>
    <col min="12075" max="12076" width="3.5703125" style="262"/>
    <col min="12077" max="12077" width="6.5703125" style="262" bestFit="1" customWidth="1"/>
    <col min="12078" max="12078" width="3.5703125" style="262"/>
    <col min="12079" max="12079" width="5.5703125" style="262" bestFit="1" customWidth="1"/>
    <col min="12080" max="12291" width="3.5703125" style="262"/>
    <col min="12292" max="12292" width="11.42578125" style="262" customWidth="1"/>
    <col min="12293" max="12293" width="1.85546875" style="262" customWidth="1"/>
    <col min="12294" max="12297" width="5.42578125" style="262" customWidth="1"/>
    <col min="12298" max="12298" width="10.42578125" style="262" customWidth="1"/>
    <col min="12299" max="12299" width="7.85546875" style="262" customWidth="1"/>
    <col min="12300" max="12300" width="8.85546875" style="262" customWidth="1"/>
    <col min="12301" max="12301" width="8.42578125" style="262" customWidth="1"/>
    <col min="12302" max="12302" width="4.42578125" style="262" customWidth="1"/>
    <col min="12303" max="12304" width="4.140625" style="262" customWidth="1"/>
    <col min="12305" max="12305" width="6.85546875" style="262" customWidth="1"/>
    <col min="12306" max="12306" width="4.140625" style="262" customWidth="1"/>
    <col min="12307" max="12312" width="4.42578125" style="262" customWidth="1"/>
    <col min="12313" max="12313" width="7" style="262" customWidth="1"/>
    <col min="12314" max="12314" width="0" style="262" hidden="1" customWidth="1"/>
    <col min="12315" max="12318" width="3.5703125" style="262" customWidth="1"/>
    <col min="12319" max="12320" width="3.5703125" style="262"/>
    <col min="12321" max="12322" width="0" style="262" hidden="1" customWidth="1"/>
    <col min="12323" max="12329" width="3.5703125" style="262"/>
    <col min="12330" max="12330" width="5.5703125" style="262" bestFit="1" customWidth="1"/>
    <col min="12331" max="12332" width="3.5703125" style="262"/>
    <col min="12333" max="12333" width="6.5703125" style="262" bestFit="1" customWidth="1"/>
    <col min="12334" max="12334" width="3.5703125" style="262"/>
    <col min="12335" max="12335" width="5.5703125" style="262" bestFit="1" customWidth="1"/>
    <col min="12336" max="12547" width="3.5703125" style="262"/>
    <col min="12548" max="12548" width="11.42578125" style="262" customWidth="1"/>
    <col min="12549" max="12549" width="1.85546875" style="262" customWidth="1"/>
    <col min="12550" max="12553" width="5.42578125" style="262" customWidth="1"/>
    <col min="12554" max="12554" width="10.42578125" style="262" customWidth="1"/>
    <col min="12555" max="12555" width="7.85546875" style="262" customWidth="1"/>
    <col min="12556" max="12556" width="8.85546875" style="262" customWidth="1"/>
    <col min="12557" max="12557" width="8.42578125" style="262" customWidth="1"/>
    <col min="12558" max="12558" width="4.42578125" style="262" customWidth="1"/>
    <col min="12559" max="12560" width="4.140625" style="262" customWidth="1"/>
    <col min="12561" max="12561" width="6.85546875" style="262" customWidth="1"/>
    <col min="12562" max="12562" width="4.140625" style="262" customWidth="1"/>
    <col min="12563" max="12568" width="4.42578125" style="262" customWidth="1"/>
    <col min="12569" max="12569" width="7" style="262" customWidth="1"/>
    <col min="12570" max="12570" width="0" style="262" hidden="1" customWidth="1"/>
    <col min="12571" max="12574" width="3.5703125" style="262" customWidth="1"/>
    <col min="12575" max="12576" width="3.5703125" style="262"/>
    <col min="12577" max="12578" width="0" style="262" hidden="1" customWidth="1"/>
    <col min="12579" max="12585" width="3.5703125" style="262"/>
    <col min="12586" max="12586" width="5.5703125" style="262" bestFit="1" customWidth="1"/>
    <col min="12587" max="12588" width="3.5703125" style="262"/>
    <col min="12589" max="12589" width="6.5703125" style="262" bestFit="1" customWidth="1"/>
    <col min="12590" max="12590" width="3.5703125" style="262"/>
    <col min="12591" max="12591" width="5.5703125" style="262" bestFit="1" customWidth="1"/>
    <col min="12592" max="12803" width="3.5703125" style="262"/>
    <col min="12804" max="12804" width="11.42578125" style="262" customWidth="1"/>
    <col min="12805" max="12805" width="1.85546875" style="262" customWidth="1"/>
    <col min="12806" max="12809" width="5.42578125" style="262" customWidth="1"/>
    <col min="12810" max="12810" width="10.42578125" style="262" customWidth="1"/>
    <col min="12811" max="12811" width="7.85546875" style="262" customWidth="1"/>
    <col min="12812" max="12812" width="8.85546875" style="262" customWidth="1"/>
    <col min="12813" max="12813" width="8.42578125" style="262" customWidth="1"/>
    <col min="12814" max="12814" width="4.42578125" style="262" customWidth="1"/>
    <col min="12815" max="12816" width="4.140625" style="262" customWidth="1"/>
    <col min="12817" max="12817" width="6.85546875" style="262" customWidth="1"/>
    <col min="12818" max="12818" width="4.140625" style="262" customWidth="1"/>
    <col min="12819" max="12824" width="4.42578125" style="262" customWidth="1"/>
    <col min="12825" max="12825" width="7" style="262" customWidth="1"/>
    <col min="12826" max="12826" width="0" style="262" hidden="1" customWidth="1"/>
    <col min="12827" max="12830" width="3.5703125" style="262" customWidth="1"/>
    <col min="12831" max="12832" width="3.5703125" style="262"/>
    <col min="12833" max="12834" width="0" style="262" hidden="1" customWidth="1"/>
    <col min="12835" max="12841" width="3.5703125" style="262"/>
    <col min="12842" max="12842" width="5.5703125" style="262" bestFit="1" customWidth="1"/>
    <col min="12843" max="12844" width="3.5703125" style="262"/>
    <col min="12845" max="12845" width="6.5703125" style="262" bestFit="1" customWidth="1"/>
    <col min="12846" max="12846" width="3.5703125" style="262"/>
    <col min="12847" max="12847" width="5.5703125" style="262" bestFit="1" customWidth="1"/>
    <col min="12848" max="13059" width="3.5703125" style="262"/>
    <col min="13060" max="13060" width="11.42578125" style="262" customWidth="1"/>
    <col min="13061" max="13061" width="1.85546875" style="262" customWidth="1"/>
    <col min="13062" max="13065" width="5.42578125" style="262" customWidth="1"/>
    <col min="13066" max="13066" width="10.42578125" style="262" customWidth="1"/>
    <col min="13067" max="13067" width="7.85546875" style="262" customWidth="1"/>
    <col min="13068" max="13068" width="8.85546875" style="262" customWidth="1"/>
    <col min="13069" max="13069" width="8.42578125" style="262" customWidth="1"/>
    <col min="13070" max="13070" width="4.42578125" style="262" customWidth="1"/>
    <col min="13071" max="13072" width="4.140625" style="262" customWidth="1"/>
    <col min="13073" max="13073" width="6.85546875" style="262" customWidth="1"/>
    <col min="13074" max="13074" width="4.140625" style="262" customWidth="1"/>
    <col min="13075" max="13080" width="4.42578125" style="262" customWidth="1"/>
    <col min="13081" max="13081" width="7" style="262" customWidth="1"/>
    <col min="13082" max="13082" width="0" style="262" hidden="1" customWidth="1"/>
    <col min="13083" max="13086" width="3.5703125" style="262" customWidth="1"/>
    <col min="13087" max="13088" width="3.5703125" style="262"/>
    <col min="13089" max="13090" width="0" style="262" hidden="1" customWidth="1"/>
    <col min="13091" max="13097" width="3.5703125" style="262"/>
    <col min="13098" max="13098" width="5.5703125" style="262" bestFit="1" customWidth="1"/>
    <col min="13099" max="13100" width="3.5703125" style="262"/>
    <col min="13101" max="13101" width="6.5703125" style="262" bestFit="1" customWidth="1"/>
    <col min="13102" max="13102" width="3.5703125" style="262"/>
    <col min="13103" max="13103" width="5.5703125" style="262" bestFit="1" customWidth="1"/>
    <col min="13104" max="13315" width="3.5703125" style="262"/>
    <col min="13316" max="13316" width="11.42578125" style="262" customWidth="1"/>
    <col min="13317" max="13317" width="1.85546875" style="262" customWidth="1"/>
    <col min="13318" max="13321" width="5.42578125" style="262" customWidth="1"/>
    <col min="13322" max="13322" width="10.42578125" style="262" customWidth="1"/>
    <col min="13323" max="13323" width="7.85546875" style="262" customWidth="1"/>
    <col min="13324" max="13324" width="8.85546875" style="262" customWidth="1"/>
    <col min="13325" max="13325" width="8.42578125" style="262" customWidth="1"/>
    <col min="13326" max="13326" width="4.42578125" style="262" customWidth="1"/>
    <col min="13327" max="13328" width="4.140625" style="262" customWidth="1"/>
    <col min="13329" max="13329" width="6.85546875" style="262" customWidth="1"/>
    <col min="13330" max="13330" width="4.140625" style="262" customWidth="1"/>
    <col min="13331" max="13336" width="4.42578125" style="262" customWidth="1"/>
    <col min="13337" max="13337" width="7" style="262" customWidth="1"/>
    <col min="13338" max="13338" width="0" style="262" hidden="1" customWidth="1"/>
    <col min="13339" max="13342" width="3.5703125" style="262" customWidth="1"/>
    <col min="13343" max="13344" width="3.5703125" style="262"/>
    <col min="13345" max="13346" width="0" style="262" hidden="1" customWidth="1"/>
    <col min="13347" max="13353" width="3.5703125" style="262"/>
    <col min="13354" max="13354" width="5.5703125" style="262" bestFit="1" customWidth="1"/>
    <col min="13355" max="13356" width="3.5703125" style="262"/>
    <col min="13357" max="13357" width="6.5703125" style="262" bestFit="1" customWidth="1"/>
    <col min="13358" max="13358" width="3.5703125" style="262"/>
    <col min="13359" max="13359" width="5.5703125" style="262" bestFit="1" customWidth="1"/>
    <col min="13360" max="13571" width="3.5703125" style="262"/>
    <col min="13572" max="13572" width="11.42578125" style="262" customWidth="1"/>
    <col min="13573" max="13573" width="1.85546875" style="262" customWidth="1"/>
    <col min="13574" max="13577" width="5.42578125" style="262" customWidth="1"/>
    <col min="13578" max="13578" width="10.42578125" style="262" customWidth="1"/>
    <col min="13579" max="13579" width="7.85546875" style="262" customWidth="1"/>
    <col min="13580" max="13580" width="8.85546875" style="262" customWidth="1"/>
    <col min="13581" max="13581" width="8.42578125" style="262" customWidth="1"/>
    <col min="13582" max="13582" width="4.42578125" style="262" customWidth="1"/>
    <col min="13583" max="13584" width="4.140625" style="262" customWidth="1"/>
    <col min="13585" max="13585" width="6.85546875" style="262" customWidth="1"/>
    <col min="13586" max="13586" width="4.140625" style="262" customWidth="1"/>
    <col min="13587" max="13592" width="4.42578125" style="262" customWidth="1"/>
    <col min="13593" max="13593" width="7" style="262" customWidth="1"/>
    <col min="13594" max="13594" width="0" style="262" hidden="1" customWidth="1"/>
    <col min="13595" max="13598" width="3.5703125" style="262" customWidth="1"/>
    <col min="13599" max="13600" width="3.5703125" style="262"/>
    <col min="13601" max="13602" width="0" style="262" hidden="1" customWidth="1"/>
    <col min="13603" max="13609" width="3.5703125" style="262"/>
    <col min="13610" max="13610" width="5.5703125" style="262" bestFit="1" customWidth="1"/>
    <col min="13611" max="13612" width="3.5703125" style="262"/>
    <col min="13613" max="13613" width="6.5703125" style="262" bestFit="1" customWidth="1"/>
    <col min="13614" max="13614" width="3.5703125" style="262"/>
    <col min="13615" max="13615" width="5.5703125" style="262" bestFit="1" customWidth="1"/>
    <col min="13616" max="13827" width="3.5703125" style="262"/>
    <col min="13828" max="13828" width="11.42578125" style="262" customWidth="1"/>
    <col min="13829" max="13829" width="1.85546875" style="262" customWidth="1"/>
    <col min="13830" max="13833" width="5.42578125" style="262" customWidth="1"/>
    <col min="13834" max="13834" width="10.42578125" style="262" customWidth="1"/>
    <col min="13835" max="13835" width="7.85546875" style="262" customWidth="1"/>
    <col min="13836" max="13836" width="8.85546875" style="262" customWidth="1"/>
    <col min="13837" max="13837" width="8.42578125" style="262" customWidth="1"/>
    <col min="13838" max="13838" width="4.42578125" style="262" customWidth="1"/>
    <col min="13839" max="13840" width="4.140625" style="262" customWidth="1"/>
    <col min="13841" max="13841" width="6.85546875" style="262" customWidth="1"/>
    <col min="13842" max="13842" width="4.140625" style="262" customWidth="1"/>
    <col min="13843" max="13848" width="4.42578125" style="262" customWidth="1"/>
    <col min="13849" max="13849" width="7" style="262" customWidth="1"/>
    <col min="13850" max="13850" width="0" style="262" hidden="1" customWidth="1"/>
    <col min="13851" max="13854" width="3.5703125" style="262" customWidth="1"/>
    <col min="13855" max="13856" width="3.5703125" style="262"/>
    <col min="13857" max="13858" width="0" style="262" hidden="1" customWidth="1"/>
    <col min="13859" max="13865" width="3.5703125" style="262"/>
    <col min="13866" max="13866" width="5.5703125" style="262" bestFit="1" customWidth="1"/>
    <col min="13867" max="13868" width="3.5703125" style="262"/>
    <col min="13869" max="13869" width="6.5703125" style="262" bestFit="1" customWidth="1"/>
    <col min="13870" max="13870" width="3.5703125" style="262"/>
    <col min="13871" max="13871" width="5.5703125" style="262" bestFit="1" customWidth="1"/>
    <col min="13872" max="14083" width="3.5703125" style="262"/>
    <col min="14084" max="14084" width="11.42578125" style="262" customWidth="1"/>
    <col min="14085" max="14085" width="1.85546875" style="262" customWidth="1"/>
    <col min="14086" max="14089" width="5.42578125" style="262" customWidth="1"/>
    <col min="14090" max="14090" width="10.42578125" style="262" customWidth="1"/>
    <col min="14091" max="14091" width="7.85546875" style="262" customWidth="1"/>
    <col min="14092" max="14092" width="8.85546875" style="262" customWidth="1"/>
    <col min="14093" max="14093" width="8.42578125" style="262" customWidth="1"/>
    <col min="14094" max="14094" width="4.42578125" style="262" customWidth="1"/>
    <col min="14095" max="14096" width="4.140625" style="262" customWidth="1"/>
    <col min="14097" max="14097" width="6.85546875" style="262" customWidth="1"/>
    <col min="14098" max="14098" width="4.140625" style="262" customWidth="1"/>
    <col min="14099" max="14104" width="4.42578125" style="262" customWidth="1"/>
    <col min="14105" max="14105" width="7" style="262" customWidth="1"/>
    <col min="14106" max="14106" width="0" style="262" hidden="1" customWidth="1"/>
    <col min="14107" max="14110" width="3.5703125" style="262" customWidth="1"/>
    <col min="14111" max="14112" width="3.5703125" style="262"/>
    <col min="14113" max="14114" width="0" style="262" hidden="1" customWidth="1"/>
    <col min="14115" max="14121" width="3.5703125" style="262"/>
    <col min="14122" max="14122" width="5.5703125" style="262" bestFit="1" customWidth="1"/>
    <col min="14123" max="14124" width="3.5703125" style="262"/>
    <col min="14125" max="14125" width="6.5703125" style="262" bestFit="1" customWidth="1"/>
    <col min="14126" max="14126" width="3.5703125" style="262"/>
    <col min="14127" max="14127" width="5.5703125" style="262" bestFit="1" customWidth="1"/>
    <col min="14128" max="14339" width="3.5703125" style="262"/>
    <col min="14340" max="14340" width="11.42578125" style="262" customWidth="1"/>
    <col min="14341" max="14341" width="1.85546875" style="262" customWidth="1"/>
    <col min="14342" max="14345" width="5.42578125" style="262" customWidth="1"/>
    <col min="14346" max="14346" width="10.42578125" style="262" customWidth="1"/>
    <col min="14347" max="14347" width="7.85546875" style="262" customWidth="1"/>
    <col min="14348" max="14348" width="8.85546875" style="262" customWidth="1"/>
    <col min="14349" max="14349" width="8.42578125" style="262" customWidth="1"/>
    <col min="14350" max="14350" width="4.42578125" style="262" customWidth="1"/>
    <col min="14351" max="14352" width="4.140625" style="262" customWidth="1"/>
    <col min="14353" max="14353" width="6.85546875" style="262" customWidth="1"/>
    <col min="14354" max="14354" width="4.140625" style="262" customWidth="1"/>
    <col min="14355" max="14360" width="4.42578125" style="262" customWidth="1"/>
    <col min="14361" max="14361" width="7" style="262" customWidth="1"/>
    <col min="14362" max="14362" width="0" style="262" hidden="1" customWidth="1"/>
    <col min="14363" max="14366" width="3.5703125" style="262" customWidth="1"/>
    <col min="14367" max="14368" width="3.5703125" style="262"/>
    <col min="14369" max="14370" width="0" style="262" hidden="1" customWidth="1"/>
    <col min="14371" max="14377" width="3.5703125" style="262"/>
    <col min="14378" max="14378" width="5.5703125" style="262" bestFit="1" customWidth="1"/>
    <col min="14379" max="14380" width="3.5703125" style="262"/>
    <col min="14381" max="14381" width="6.5703125" style="262" bestFit="1" customWidth="1"/>
    <col min="14382" max="14382" width="3.5703125" style="262"/>
    <col min="14383" max="14383" width="5.5703125" style="262" bestFit="1" customWidth="1"/>
    <col min="14384" max="14595" width="3.5703125" style="262"/>
    <col min="14596" max="14596" width="11.42578125" style="262" customWidth="1"/>
    <col min="14597" max="14597" width="1.85546875" style="262" customWidth="1"/>
    <col min="14598" max="14601" width="5.42578125" style="262" customWidth="1"/>
    <col min="14602" max="14602" width="10.42578125" style="262" customWidth="1"/>
    <col min="14603" max="14603" width="7.85546875" style="262" customWidth="1"/>
    <col min="14604" max="14604" width="8.85546875" style="262" customWidth="1"/>
    <col min="14605" max="14605" width="8.42578125" style="262" customWidth="1"/>
    <col min="14606" max="14606" width="4.42578125" style="262" customWidth="1"/>
    <col min="14607" max="14608" width="4.140625" style="262" customWidth="1"/>
    <col min="14609" max="14609" width="6.85546875" style="262" customWidth="1"/>
    <col min="14610" max="14610" width="4.140625" style="262" customWidth="1"/>
    <col min="14611" max="14616" width="4.42578125" style="262" customWidth="1"/>
    <col min="14617" max="14617" width="7" style="262" customWidth="1"/>
    <col min="14618" max="14618" width="0" style="262" hidden="1" customWidth="1"/>
    <col min="14619" max="14622" width="3.5703125" style="262" customWidth="1"/>
    <col min="14623" max="14624" width="3.5703125" style="262"/>
    <col min="14625" max="14626" width="0" style="262" hidden="1" customWidth="1"/>
    <col min="14627" max="14633" width="3.5703125" style="262"/>
    <col min="14634" max="14634" width="5.5703125" style="262" bestFit="1" customWidth="1"/>
    <col min="14635" max="14636" width="3.5703125" style="262"/>
    <col min="14637" max="14637" width="6.5703125" style="262" bestFit="1" customWidth="1"/>
    <col min="14638" max="14638" width="3.5703125" style="262"/>
    <col min="14639" max="14639" width="5.5703125" style="262" bestFit="1" customWidth="1"/>
    <col min="14640" max="14851" width="3.5703125" style="262"/>
    <col min="14852" max="14852" width="11.42578125" style="262" customWidth="1"/>
    <col min="14853" max="14853" width="1.85546875" style="262" customWidth="1"/>
    <col min="14854" max="14857" width="5.42578125" style="262" customWidth="1"/>
    <col min="14858" max="14858" width="10.42578125" style="262" customWidth="1"/>
    <col min="14859" max="14859" width="7.85546875" style="262" customWidth="1"/>
    <col min="14860" max="14860" width="8.85546875" style="262" customWidth="1"/>
    <col min="14861" max="14861" width="8.42578125" style="262" customWidth="1"/>
    <col min="14862" max="14862" width="4.42578125" style="262" customWidth="1"/>
    <col min="14863" max="14864" width="4.140625" style="262" customWidth="1"/>
    <col min="14865" max="14865" width="6.85546875" style="262" customWidth="1"/>
    <col min="14866" max="14866" width="4.140625" style="262" customWidth="1"/>
    <col min="14867" max="14872" width="4.42578125" style="262" customWidth="1"/>
    <col min="14873" max="14873" width="7" style="262" customWidth="1"/>
    <col min="14874" max="14874" width="0" style="262" hidden="1" customWidth="1"/>
    <col min="14875" max="14878" width="3.5703125" style="262" customWidth="1"/>
    <col min="14879" max="14880" width="3.5703125" style="262"/>
    <col min="14881" max="14882" width="0" style="262" hidden="1" customWidth="1"/>
    <col min="14883" max="14889" width="3.5703125" style="262"/>
    <col min="14890" max="14890" width="5.5703125" style="262" bestFit="1" customWidth="1"/>
    <col min="14891" max="14892" width="3.5703125" style="262"/>
    <col min="14893" max="14893" width="6.5703125" style="262" bestFit="1" customWidth="1"/>
    <col min="14894" max="14894" width="3.5703125" style="262"/>
    <col min="14895" max="14895" width="5.5703125" style="262" bestFit="1" customWidth="1"/>
    <col min="14896" max="15107" width="3.5703125" style="262"/>
    <col min="15108" max="15108" width="11.42578125" style="262" customWidth="1"/>
    <col min="15109" max="15109" width="1.85546875" style="262" customWidth="1"/>
    <col min="15110" max="15113" width="5.42578125" style="262" customWidth="1"/>
    <col min="15114" max="15114" width="10.42578125" style="262" customWidth="1"/>
    <col min="15115" max="15115" width="7.85546875" style="262" customWidth="1"/>
    <col min="15116" max="15116" width="8.85546875" style="262" customWidth="1"/>
    <col min="15117" max="15117" width="8.42578125" style="262" customWidth="1"/>
    <col min="15118" max="15118" width="4.42578125" style="262" customWidth="1"/>
    <col min="15119" max="15120" width="4.140625" style="262" customWidth="1"/>
    <col min="15121" max="15121" width="6.85546875" style="262" customWidth="1"/>
    <col min="15122" max="15122" width="4.140625" style="262" customWidth="1"/>
    <col min="15123" max="15128" width="4.42578125" style="262" customWidth="1"/>
    <col min="15129" max="15129" width="7" style="262" customWidth="1"/>
    <col min="15130" max="15130" width="0" style="262" hidden="1" customWidth="1"/>
    <col min="15131" max="15134" width="3.5703125" style="262" customWidth="1"/>
    <col min="15135" max="15136" width="3.5703125" style="262"/>
    <col min="15137" max="15138" width="0" style="262" hidden="1" customWidth="1"/>
    <col min="15139" max="15145" width="3.5703125" style="262"/>
    <col min="15146" max="15146" width="5.5703125" style="262" bestFit="1" customWidth="1"/>
    <col min="15147" max="15148" width="3.5703125" style="262"/>
    <col min="15149" max="15149" width="6.5703125" style="262" bestFit="1" customWidth="1"/>
    <col min="15150" max="15150" width="3.5703125" style="262"/>
    <col min="15151" max="15151" width="5.5703125" style="262" bestFit="1" customWidth="1"/>
    <col min="15152" max="15363" width="3.5703125" style="262"/>
    <col min="15364" max="15364" width="11.42578125" style="262" customWidth="1"/>
    <col min="15365" max="15365" width="1.85546875" style="262" customWidth="1"/>
    <col min="15366" max="15369" width="5.42578125" style="262" customWidth="1"/>
    <col min="15370" max="15370" width="10.42578125" style="262" customWidth="1"/>
    <col min="15371" max="15371" width="7.85546875" style="262" customWidth="1"/>
    <col min="15372" max="15372" width="8.85546875" style="262" customWidth="1"/>
    <col min="15373" max="15373" width="8.42578125" style="262" customWidth="1"/>
    <col min="15374" max="15374" width="4.42578125" style="262" customWidth="1"/>
    <col min="15375" max="15376" width="4.140625" style="262" customWidth="1"/>
    <col min="15377" max="15377" width="6.85546875" style="262" customWidth="1"/>
    <col min="15378" max="15378" width="4.140625" style="262" customWidth="1"/>
    <col min="15379" max="15384" width="4.42578125" style="262" customWidth="1"/>
    <col min="15385" max="15385" width="7" style="262" customWidth="1"/>
    <col min="15386" max="15386" width="0" style="262" hidden="1" customWidth="1"/>
    <col min="15387" max="15390" width="3.5703125" style="262" customWidth="1"/>
    <col min="15391" max="15392" width="3.5703125" style="262"/>
    <col min="15393" max="15394" width="0" style="262" hidden="1" customWidth="1"/>
    <col min="15395" max="15401" width="3.5703125" style="262"/>
    <col min="15402" max="15402" width="5.5703125" style="262" bestFit="1" customWidth="1"/>
    <col min="15403" max="15404" width="3.5703125" style="262"/>
    <col min="15405" max="15405" width="6.5703125" style="262" bestFit="1" customWidth="1"/>
    <col min="15406" max="15406" width="3.5703125" style="262"/>
    <col min="15407" max="15407" width="5.5703125" style="262" bestFit="1" customWidth="1"/>
    <col min="15408" max="15619" width="3.5703125" style="262"/>
    <col min="15620" max="15620" width="11.42578125" style="262" customWidth="1"/>
    <col min="15621" max="15621" width="1.85546875" style="262" customWidth="1"/>
    <col min="15622" max="15625" width="5.42578125" style="262" customWidth="1"/>
    <col min="15626" max="15626" width="10.42578125" style="262" customWidth="1"/>
    <col min="15627" max="15627" width="7.85546875" style="262" customWidth="1"/>
    <col min="15628" max="15628" width="8.85546875" style="262" customWidth="1"/>
    <col min="15629" max="15629" width="8.42578125" style="262" customWidth="1"/>
    <col min="15630" max="15630" width="4.42578125" style="262" customWidth="1"/>
    <col min="15631" max="15632" width="4.140625" style="262" customWidth="1"/>
    <col min="15633" max="15633" width="6.85546875" style="262" customWidth="1"/>
    <col min="15634" max="15634" width="4.140625" style="262" customWidth="1"/>
    <col min="15635" max="15640" width="4.42578125" style="262" customWidth="1"/>
    <col min="15641" max="15641" width="7" style="262" customWidth="1"/>
    <col min="15642" max="15642" width="0" style="262" hidden="1" customWidth="1"/>
    <col min="15643" max="15646" width="3.5703125" style="262" customWidth="1"/>
    <col min="15647" max="15648" width="3.5703125" style="262"/>
    <col min="15649" max="15650" width="0" style="262" hidden="1" customWidth="1"/>
    <col min="15651" max="15657" width="3.5703125" style="262"/>
    <col min="15658" max="15658" width="5.5703125" style="262" bestFit="1" customWidth="1"/>
    <col min="15659" max="15660" width="3.5703125" style="262"/>
    <col min="15661" max="15661" width="6.5703125" style="262" bestFit="1" customWidth="1"/>
    <col min="15662" max="15662" width="3.5703125" style="262"/>
    <col min="15663" max="15663" width="5.5703125" style="262" bestFit="1" customWidth="1"/>
    <col min="15664" max="15875" width="3.5703125" style="262"/>
    <col min="15876" max="15876" width="11.42578125" style="262" customWidth="1"/>
    <col min="15877" max="15877" width="1.85546875" style="262" customWidth="1"/>
    <col min="15878" max="15881" width="5.42578125" style="262" customWidth="1"/>
    <col min="15882" max="15882" width="10.42578125" style="262" customWidth="1"/>
    <col min="15883" max="15883" width="7.85546875" style="262" customWidth="1"/>
    <col min="15884" max="15884" width="8.85546875" style="262" customWidth="1"/>
    <col min="15885" max="15885" width="8.42578125" style="262" customWidth="1"/>
    <col min="15886" max="15886" width="4.42578125" style="262" customWidth="1"/>
    <col min="15887" max="15888" width="4.140625" style="262" customWidth="1"/>
    <col min="15889" max="15889" width="6.85546875" style="262" customWidth="1"/>
    <col min="15890" max="15890" width="4.140625" style="262" customWidth="1"/>
    <col min="15891" max="15896" width="4.42578125" style="262" customWidth="1"/>
    <col min="15897" max="15897" width="7" style="262" customWidth="1"/>
    <col min="15898" max="15898" width="0" style="262" hidden="1" customWidth="1"/>
    <col min="15899" max="15902" width="3.5703125" style="262" customWidth="1"/>
    <col min="15903" max="15904" width="3.5703125" style="262"/>
    <col min="15905" max="15906" width="0" style="262" hidden="1" customWidth="1"/>
    <col min="15907" max="15913" width="3.5703125" style="262"/>
    <col min="15914" max="15914" width="5.5703125" style="262" bestFit="1" customWidth="1"/>
    <col min="15915" max="15916" width="3.5703125" style="262"/>
    <col min="15917" max="15917" width="6.5703125" style="262" bestFit="1" customWidth="1"/>
    <col min="15918" max="15918" width="3.5703125" style="262"/>
    <col min="15919" max="15919" width="5.5703125" style="262" bestFit="1" customWidth="1"/>
    <col min="15920" max="16131" width="3.5703125" style="262"/>
    <col min="16132" max="16132" width="11.42578125" style="262" customWidth="1"/>
    <col min="16133" max="16133" width="1.85546875" style="262" customWidth="1"/>
    <col min="16134" max="16137" width="5.42578125" style="262" customWidth="1"/>
    <col min="16138" max="16138" width="10.42578125" style="262" customWidth="1"/>
    <col min="16139" max="16139" width="7.85546875" style="262" customWidth="1"/>
    <col min="16140" max="16140" width="8.85546875" style="262" customWidth="1"/>
    <col min="16141" max="16141" width="8.42578125" style="262" customWidth="1"/>
    <col min="16142" max="16142" width="4.42578125" style="262" customWidth="1"/>
    <col min="16143" max="16144" width="4.140625" style="262" customWidth="1"/>
    <col min="16145" max="16145" width="6.85546875" style="262" customWidth="1"/>
    <col min="16146" max="16146" width="4.140625" style="262" customWidth="1"/>
    <col min="16147" max="16152" width="4.42578125" style="262" customWidth="1"/>
    <col min="16153" max="16153" width="7" style="262" customWidth="1"/>
    <col min="16154" max="16154" width="0" style="262" hidden="1" customWidth="1"/>
    <col min="16155" max="16158" width="3.5703125" style="262" customWidth="1"/>
    <col min="16159" max="16160" width="3.5703125" style="262"/>
    <col min="16161" max="16162" width="0" style="262" hidden="1" customWidth="1"/>
    <col min="16163" max="16169" width="3.5703125" style="262"/>
    <col min="16170" max="16170" width="5.5703125" style="262" bestFit="1" customWidth="1"/>
    <col min="16171" max="16172" width="3.5703125" style="262"/>
    <col min="16173" max="16173" width="6.5703125" style="262" bestFit="1" customWidth="1"/>
    <col min="16174" max="16174" width="3.5703125" style="262"/>
    <col min="16175" max="16175" width="5.5703125" style="262" bestFit="1" customWidth="1"/>
    <col min="16176" max="16384" width="3.5703125" style="262"/>
  </cols>
  <sheetData>
    <row r="1" spans="2:36" s="7" customFormat="1" ht="9.9499999999999993" customHeight="1" x14ac:dyDescent="0.25">
      <c r="B1" s="637" t="s">
        <v>300</v>
      </c>
      <c r="C1" s="639"/>
      <c r="D1" s="639"/>
      <c r="E1" s="639"/>
      <c r="F1" s="639"/>
      <c r="G1" s="639"/>
      <c r="H1" s="639"/>
      <c r="I1" s="639"/>
      <c r="J1" s="639"/>
      <c r="K1" s="639"/>
      <c r="L1" s="639"/>
      <c r="M1" s="639"/>
      <c r="N1" s="639"/>
      <c r="O1" s="639"/>
      <c r="P1" s="639"/>
      <c r="Q1" s="639"/>
      <c r="R1" s="639"/>
      <c r="S1" s="639"/>
      <c r="T1" s="639"/>
      <c r="U1" s="639"/>
      <c r="V1" s="639"/>
      <c r="W1" s="639"/>
      <c r="X1" s="639"/>
      <c r="Y1" s="639"/>
      <c r="AB1" s="263"/>
      <c r="AC1" s="263"/>
      <c r="AD1" s="263"/>
      <c r="AE1" s="263"/>
      <c r="AF1" s="263"/>
      <c r="AG1" s="263"/>
      <c r="AH1" s="263"/>
      <c r="AI1" s="263"/>
      <c r="AJ1" s="263"/>
    </row>
    <row r="2" spans="2:36" s="7" customFormat="1" ht="9.9499999999999993" customHeight="1" x14ac:dyDescent="0.25">
      <c r="B2" s="639"/>
      <c r="C2" s="639"/>
      <c r="D2" s="639"/>
      <c r="E2" s="639"/>
      <c r="F2" s="639"/>
      <c r="G2" s="639"/>
      <c r="H2" s="639"/>
      <c r="I2" s="639"/>
      <c r="J2" s="639"/>
      <c r="K2" s="639"/>
      <c r="L2" s="639"/>
      <c r="M2" s="639"/>
      <c r="N2" s="639"/>
      <c r="O2" s="639"/>
      <c r="P2" s="639"/>
      <c r="Q2" s="639"/>
      <c r="R2" s="639"/>
      <c r="S2" s="639"/>
      <c r="T2" s="639"/>
      <c r="U2" s="639"/>
      <c r="V2" s="639"/>
      <c r="W2" s="639"/>
      <c r="X2" s="639"/>
      <c r="Y2" s="639"/>
      <c r="AB2" s="263"/>
      <c r="AC2" s="263"/>
      <c r="AD2" s="263"/>
      <c r="AE2" s="263"/>
      <c r="AF2" s="263"/>
      <c r="AG2" s="263"/>
      <c r="AH2" s="263"/>
      <c r="AI2" s="263"/>
      <c r="AJ2" s="263"/>
    </row>
    <row r="3" spans="2:36" s="7" customFormat="1" ht="9.9499999999999993" customHeight="1" x14ac:dyDescent="0.25">
      <c r="B3" s="639"/>
      <c r="C3" s="639"/>
      <c r="D3" s="639"/>
      <c r="E3" s="639"/>
      <c r="F3" s="639"/>
      <c r="G3" s="639"/>
      <c r="H3" s="639"/>
      <c r="I3" s="639"/>
      <c r="J3" s="639"/>
      <c r="K3" s="639"/>
      <c r="L3" s="639"/>
      <c r="M3" s="639"/>
      <c r="N3" s="639"/>
      <c r="O3" s="639"/>
      <c r="P3" s="639"/>
      <c r="Q3" s="639"/>
      <c r="R3" s="639"/>
      <c r="S3" s="639"/>
      <c r="T3" s="639"/>
      <c r="U3" s="639"/>
      <c r="V3" s="639"/>
      <c r="W3" s="639"/>
      <c r="X3" s="639"/>
      <c r="Y3" s="639"/>
      <c r="AB3" s="263"/>
      <c r="AC3" s="263"/>
      <c r="AD3" s="263"/>
      <c r="AE3" s="263"/>
      <c r="AF3" s="263"/>
      <c r="AG3" s="263"/>
      <c r="AH3" s="263"/>
      <c r="AI3" s="263"/>
      <c r="AJ3" s="263"/>
    </row>
    <row r="4" spans="2:36" s="7" customFormat="1" ht="9.9499999999999993" customHeight="1" x14ac:dyDescent="0.25">
      <c r="B4" s="639"/>
      <c r="C4" s="639"/>
      <c r="D4" s="639"/>
      <c r="E4" s="639"/>
      <c r="F4" s="639"/>
      <c r="G4" s="639"/>
      <c r="H4" s="639"/>
      <c r="I4" s="639"/>
      <c r="J4" s="639"/>
      <c r="K4" s="639"/>
      <c r="L4" s="639"/>
      <c r="M4" s="639"/>
      <c r="N4" s="639"/>
      <c r="O4" s="639"/>
      <c r="P4" s="639"/>
      <c r="Q4" s="639"/>
      <c r="R4" s="639"/>
      <c r="S4" s="639"/>
      <c r="T4" s="639"/>
      <c r="U4" s="639"/>
      <c r="V4" s="639"/>
      <c r="W4" s="639"/>
      <c r="X4" s="639"/>
      <c r="Y4" s="639"/>
      <c r="AB4" s="263"/>
      <c r="AC4" s="263"/>
      <c r="AD4" s="263"/>
      <c r="AE4" s="263"/>
      <c r="AF4" s="263"/>
      <c r="AG4" s="263"/>
      <c r="AH4" s="263"/>
      <c r="AI4" s="263"/>
      <c r="AJ4" s="263"/>
    </row>
    <row r="5" spans="2:36" s="7" customFormat="1" ht="9.9499999999999993" customHeight="1" x14ac:dyDescent="0.25">
      <c r="B5" s="639"/>
      <c r="C5" s="639"/>
      <c r="D5" s="639"/>
      <c r="E5" s="639"/>
      <c r="F5" s="639"/>
      <c r="G5" s="639"/>
      <c r="H5" s="639"/>
      <c r="I5" s="639"/>
      <c r="J5" s="639"/>
      <c r="K5" s="639"/>
      <c r="L5" s="639"/>
      <c r="M5" s="639"/>
      <c r="N5" s="639"/>
      <c r="O5" s="639"/>
      <c r="P5" s="639"/>
      <c r="Q5" s="639"/>
      <c r="R5" s="639"/>
      <c r="S5" s="639"/>
      <c r="T5" s="639"/>
      <c r="U5" s="639"/>
      <c r="V5" s="639"/>
      <c r="W5" s="639"/>
      <c r="X5" s="639"/>
      <c r="Y5" s="639"/>
      <c r="AB5" s="263"/>
      <c r="AC5" s="263"/>
      <c r="AD5" s="263"/>
      <c r="AE5" s="263"/>
      <c r="AF5" s="263"/>
      <c r="AG5" s="263"/>
      <c r="AH5" s="263"/>
      <c r="AI5" s="263"/>
      <c r="AJ5" s="263"/>
    </row>
    <row r="6" spans="2:36" s="7" customFormat="1" ht="9.9499999999999993" customHeight="1" x14ac:dyDescent="0.25">
      <c r="B6" s="639"/>
      <c r="C6" s="639"/>
      <c r="D6" s="639"/>
      <c r="E6" s="639"/>
      <c r="F6" s="639"/>
      <c r="G6" s="639"/>
      <c r="H6" s="639"/>
      <c r="I6" s="639"/>
      <c r="J6" s="639"/>
      <c r="K6" s="639"/>
      <c r="L6" s="639"/>
      <c r="M6" s="639"/>
      <c r="N6" s="639"/>
      <c r="O6" s="639"/>
      <c r="P6" s="639"/>
      <c r="Q6" s="639"/>
      <c r="R6" s="639"/>
      <c r="S6" s="639"/>
      <c r="T6" s="639"/>
      <c r="U6" s="639"/>
      <c r="V6" s="639"/>
      <c r="W6" s="639"/>
      <c r="X6" s="639"/>
      <c r="Y6" s="639"/>
      <c r="AB6" s="263"/>
      <c r="AC6" s="263"/>
      <c r="AD6" s="263"/>
      <c r="AE6" s="263"/>
      <c r="AF6" s="263"/>
      <c r="AG6" s="263"/>
      <c r="AH6" s="263"/>
      <c r="AI6" s="263"/>
      <c r="AJ6" s="263"/>
    </row>
    <row r="7" spans="2:36" s="7" customFormat="1" ht="15" x14ac:dyDescent="0.25">
      <c r="AB7" s="263"/>
      <c r="AC7" s="263"/>
      <c r="AD7" s="263"/>
      <c r="AE7" s="263"/>
      <c r="AF7" s="263"/>
      <c r="AG7" s="263"/>
      <c r="AH7" s="263"/>
      <c r="AI7" s="263"/>
      <c r="AJ7" s="263"/>
    </row>
    <row r="8" spans="2:36" s="261" customFormat="1" ht="15" customHeight="1" x14ac:dyDescent="0.25">
      <c r="B8" s="8" t="s">
        <v>49</v>
      </c>
      <c r="D8" s="13" t="str">
        <f>'DADOS DA OBRA'!$B$13</f>
        <v>TRIBUNAL REGIONAL ELEITORAL - PIAUÍ</v>
      </c>
      <c r="F8" s="9"/>
      <c r="G8" s="9"/>
      <c r="H8" s="9"/>
      <c r="I8" s="9"/>
      <c r="J8" s="9"/>
      <c r="K8" s="9"/>
      <c r="X8" s="10" t="s">
        <v>50</v>
      </c>
      <c r="Y8" s="11" t="str">
        <f>+'CURVA ABC - SERVIÇOS'!G8</f>
        <v>22/11/2021</v>
      </c>
      <c r="AB8" s="264"/>
      <c r="AC8" s="264"/>
      <c r="AD8" s="264"/>
      <c r="AE8" s="264"/>
      <c r="AF8" s="264"/>
      <c r="AG8" s="264"/>
      <c r="AH8" s="264"/>
      <c r="AI8" s="264"/>
      <c r="AJ8" s="264"/>
    </row>
    <row r="9" spans="2:36" s="261" customFormat="1" ht="15" customHeight="1" x14ac:dyDescent="0.25">
      <c r="B9" s="8" t="s">
        <v>68</v>
      </c>
      <c r="D9" s="13" t="str">
        <f>'DADOS DA OBRA'!$B$16</f>
        <v>SUBSTITUIÇÃO DE INSTALAÇÕES ELÉTRICAS E CABEAMENTO ESTRUTURADO - EDIFÍCIO ANEXO</v>
      </c>
      <c r="F9" s="12"/>
      <c r="G9" s="12"/>
      <c r="H9" s="12"/>
      <c r="I9" s="12"/>
      <c r="J9" s="12"/>
      <c r="K9" s="12"/>
      <c r="X9" s="10" t="s">
        <v>51</v>
      </c>
      <c r="Y9" s="11">
        <f>+'CURVA ABC - SERVIÇOS'!G9</f>
        <v>44733</v>
      </c>
      <c r="AB9" s="264"/>
      <c r="AC9" s="264"/>
      <c r="AD9" s="264"/>
      <c r="AE9" s="264"/>
      <c r="AF9" s="264"/>
      <c r="AG9" s="264"/>
      <c r="AH9" s="264"/>
      <c r="AI9" s="264"/>
      <c r="AJ9" s="264"/>
    </row>
    <row r="10" spans="2:36" s="261" customFormat="1" ht="15" customHeight="1" x14ac:dyDescent="0.25">
      <c r="B10" s="8" t="s">
        <v>52</v>
      </c>
      <c r="D10" s="13" t="str">
        <f>+""&amp;'DADOS DA OBRA'!$B$19&amp;", "&amp;'DADOS DA OBRA'!$J$22&amp;", "&amp;'DADOS DA OBRA'!$P$22</f>
        <v>PRAÇA EDGAR NOGUEIRA, TERESINA, PI</v>
      </c>
      <c r="F10" s="12"/>
      <c r="G10" s="12"/>
      <c r="H10" s="12"/>
      <c r="I10" s="12"/>
      <c r="J10" s="12"/>
      <c r="K10" s="12"/>
      <c r="X10" s="10" t="s">
        <v>70</v>
      </c>
      <c r="Y10" s="294">
        <f>+'CURVA ABC - SERVIÇOS'!J8</f>
        <v>1.1186</v>
      </c>
      <c r="AB10" s="264"/>
      <c r="AC10" s="264"/>
      <c r="AD10" s="264"/>
      <c r="AE10" s="264"/>
      <c r="AF10" s="264"/>
      <c r="AG10" s="264"/>
      <c r="AH10" s="264"/>
      <c r="AI10" s="264"/>
      <c r="AJ10" s="264"/>
    </row>
    <row r="11" spans="2:36" ht="72.75" customHeight="1" x14ac:dyDescent="0.25">
      <c r="B11" s="8" t="s">
        <v>69</v>
      </c>
      <c r="D11" s="522" t="str">
        <f>+'DADOS DA OBRA'!$B$31</f>
        <v>SINAPI - 04/2022 - PIAUÍ 	 SBC - 05/2022 - TSA - Teresina - PI ORSE - 03/2022 - SERGIPE 	 SETOP - 03/2022 - Minas Gerais - Central SUDECAP - 02/2022 - MINAS GERAIS 	 CPOS - 02/2022 - São Paulo AGESUL - 01/2022 - MATO GROSSO DO SUL 	 AGETOP CIVIL - 04/2022 - Goiás EMOP - 04/2022 - RIO DE JANEIRO</v>
      </c>
      <c r="E11" s="522"/>
      <c r="F11" s="522"/>
      <c r="G11" s="522"/>
      <c r="H11" s="522"/>
      <c r="I11" s="522"/>
      <c r="J11" s="522"/>
      <c r="K11" s="522"/>
      <c r="L11" s="522"/>
      <c r="M11" s="522"/>
      <c r="N11" s="522"/>
      <c r="O11" s="522"/>
      <c r="P11" s="522"/>
      <c r="Q11" s="522"/>
      <c r="R11" s="522"/>
      <c r="X11" s="10" t="s">
        <v>71</v>
      </c>
      <c r="Y11" s="294">
        <f>+'CURVA ABC - SERVIÇOS'!J9</f>
        <v>0.70630000000000004</v>
      </c>
      <c r="Z11" s="262"/>
    </row>
    <row r="12" spans="2:36" s="1" customFormat="1" ht="6.95" customHeight="1" x14ac:dyDescent="0.25">
      <c r="I12" s="2"/>
      <c r="J12" s="3"/>
      <c r="K12" s="3"/>
      <c r="L12" s="4"/>
      <c r="M12" s="5"/>
      <c r="N12" s="6"/>
      <c r="AB12" s="266"/>
      <c r="AC12" s="266"/>
      <c r="AD12" s="266"/>
      <c r="AE12" s="266"/>
      <c r="AF12" s="266"/>
      <c r="AG12" s="266"/>
      <c r="AH12" s="266"/>
      <c r="AI12" s="266"/>
      <c r="AJ12" s="266"/>
    </row>
    <row r="13" spans="2:36" ht="20.100000000000001" customHeight="1" x14ac:dyDescent="0.25">
      <c r="B13" s="624"/>
      <c r="C13" s="624"/>
      <c r="D13" s="624"/>
      <c r="E13" s="624"/>
      <c r="F13" s="624"/>
      <c r="G13" s="638"/>
      <c r="H13" s="638"/>
      <c r="I13" s="638"/>
      <c r="J13" s="638"/>
      <c r="K13" s="638"/>
      <c r="L13" s="638"/>
      <c r="M13" s="638"/>
      <c r="N13" s="638"/>
      <c r="O13" s="638"/>
      <c r="P13" s="638"/>
      <c r="Q13" s="638"/>
      <c r="R13" s="638"/>
      <c r="S13" s="638"/>
      <c r="T13" s="638"/>
      <c r="U13" s="638"/>
      <c r="V13" s="638"/>
      <c r="W13" s="638"/>
      <c r="X13" s="638"/>
      <c r="Y13" s="638"/>
      <c r="AB13" s="254"/>
      <c r="AC13" s="254"/>
      <c r="AD13" s="254"/>
      <c r="AE13" s="254"/>
    </row>
    <row r="14" spans="2:36" ht="20.100000000000001" customHeight="1" x14ac:dyDescent="0.25">
      <c r="B14" s="624" t="s">
        <v>38</v>
      </c>
      <c r="C14" s="624"/>
      <c r="D14" s="624"/>
      <c r="E14" s="624"/>
      <c r="F14" s="624"/>
      <c r="G14" s="626" t="str">
        <f>+'BDI OBRA - DESONERADO'!G14:Y14</f>
        <v>TERESINA - PI</v>
      </c>
      <c r="H14" s="626"/>
      <c r="I14" s="626"/>
      <c r="J14" s="626"/>
      <c r="K14" s="626"/>
      <c r="L14" s="626"/>
      <c r="M14" s="626"/>
      <c r="N14" s="626"/>
      <c r="O14" s="626"/>
      <c r="P14" s="626"/>
      <c r="Q14" s="626"/>
      <c r="R14" s="626"/>
      <c r="S14" s="626"/>
      <c r="T14" s="626"/>
      <c r="U14" s="626"/>
      <c r="V14" s="626"/>
      <c r="W14" s="626"/>
      <c r="X14" s="626"/>
      <c r="Y14" s="626"/>
      <c r="AB14" s="254"/>
      <c r="AC14" s="254"/>
      <c r="AD14" s="254"/>
      <c r="AE14" s="254"/>
    </row>
    <row r="15" spans="2:36" ht="20.100000000000001" customHeight="1" x14ac:dyDescent="0.25">
      <c r="B15" s="624" t="s">
        <v>39</v>
      </c>
      <c r="C15" s="624"/>
      <c r="D15" s="624"/>
      <c r="E15" s="624"/>
      <c r="F15" s="624"/>
      <c r="G15" s="626" t="s">
        <v>80</v>
      </c>
      <c r="H15" s="626"/>
      <c r="I15" s="626"/>
      <c r="J15" s="626"/>
      <c r="K15" s="626"/>
      <c r="L15" s="626"/>
      <c r="M15" s="626"/>
      <c r="N15" s="626"/>
      <c r="O15" s="626"/>
      <c r="P15" s="626"/>
      <c r="Q15" s="626"/>
      <c r="R15" s="626"/>
      <c r="S15" s="626"/>
      <c r="T15" s="626"/>
      <c r="U15" s="626"/>
      <c r="V15" s="626"/>
      <c r="W15" s="626"/>
      <c r="X15" s="626"/>
      <c r="Y15" s="626"/>
      <c r="AB15" s="254"/>
      <c r="AC15" s="254"/>
      <c r="AD15" s="254"/>
      <c r="AE15" s="254"/>
    </row>
    <row r="16" spans="2:36" ht="20.100000000000001" customHeight="1" x14ac:dyDescent="0.25">
      <c r="B16" s="624" t="s">
        <v>81</v>
      </c>
      <c r="C16" s="624"/>
      <c r="D16" s="624"/>
      <c r="E16" s="624"/>
      <c r="F16" s="624"/>
      <c r="G16" s="625">
        <v>0.6</v>
      </c>
      <c r="H16" s="625"/>
      <c r="I16" s="625"/>
      <c r="J16" s="56" t="s">
        <v>86</v>
      </c>
      <c r="K16" s="55">
        <v>0.03</v>
      </c>
      <c r="L16" s="55"/>
      <c r="M16" s="55"/>
      <c r="N16" s="55"/>
      <c r="O16" s="55"/>
      <c r="P16" s="55"/>
      <c r="Q16" s="55"/>
      <c r="R16" s="55"/>
      <c r="S16" s="55"/>
      <c r="T16" s="55"/>
      <c r="U16" s="55"/>
      <c r="V16" s="55"/>
      <c r="W16" s="55"/>
      <c r="X16" s="55"/>
      <c r="Y16" s="55"/>
      <c r="AB16" s="254"/>
      <c r="AC16" s="254"/>
      <c r="AD16" s="254"/>
      <c r="AE16" s="254"/>
    </row>
    <row r="17" spans="1:47" ht="20.100000000000001" customHeight="1" x14ac:dyDescent="0.25">
      <c r="B17" s="267"/>
      <c r="C17" s="267"/>
      <c r="D17" s="267"/>
      <c r="E17" s="267"/>
      <c r="F17" s="267"/>
      <c r="G17" s="267"/>
      <c r="H17" s="267"/>
      <c r="I17" s="267"/>
      <c r="J17" s="267"/>
      <c r="K17" s="267"/>
      <c r="L17" s="267"/>
      <c r="M17" s="267"/>
      <c r="N17" s="267"/>
      <c r="O17" s="267"/>
      <c r="P17" s="267"/>
      <c r="Q17" s="267"/>
      <c r="R17" s="267"/>
      <c r="S17" s="267"/>
      <c r="T17" s="267"/>
      <c r="U17" s="267"/>
      <c r="V17" s="267"/>
      <c r="W17" s="267"/>
      <c r="X17" s="267"/>
      <c r="Y17" s="267"/>
    </row>
    <row r="18" spans="1:47" ht="20.100000000000001" customHeight="1" x14ac:dyDescent="0.25">
      <c r="B18" s="267"/>
      <c r="C18" s="267"/>
      <c r="D18" s="267"/>
      <c r="E18" s="267"/>
      <c r="F18" s="267"/>
      <c r="G18" s="267"/>
      <c r="H18" s="267"/>
      <c r="I18" s="267"/>
      <c r="J18" s="267"/>
      <c r="K18" s="267"/>
      <c r="L18" s="267"/>
      <c r="M18" s="267"/>
      <c r="N18" s="267"/>
      <c r="O18" s="267"/>
      <c r="P18" s="267"/>
      <c r="Q18" s="267"/>
      <c r="R18" s="267"/>
      <c r="S18" s="267"/>
      <c r="T18" s="267"/>
      <c r="U18" s="267"/>
      <c r="V18" s="267"/>
      <c r="W18" s="267"/>
      <c r="X18" s="267"/>
      <c r="Y18" s="267"/>
    </row>
    <row r="19" spans="1:47" ht="20.100000000000001" customHeight="1" thickBot="1" x14ac:dyDescent="0.3">
      <c r="B19" s="267"/>
      <c r="C19" s="267"/>
      <c r="D19" s="267"/>
      <c r="E19" s="267"/>
      <c r="F19" s="267"/>
      <c r="G19" s="267"/>
      <c r="H19" s="267"/>
      <c r="I19" s="267"/>
      <c r="J19" s="267"/>
      <c r="K19" s="267"/>
      <c r="L19" s="267"/>
      <c r="M19" s="267"/>
      <c r="N19" s="267"/>
      <c r="O19" s="267"/>
      <c r="P19" s="267"/>
      <c r="Q19" s="267"/>
      <c r="R19" s="267"/>
      <c r="S19" s="267"/>
      <c r="T19" s="267"/>
      <c r="U19" s="267"/>
      <c r="V19" s="267"/>
      <c r="W19" s="267"/>
      <c r="X19" s="267"/>
      <c r="Y19" s="267"/>
    </row>
    <row r="20" spans="1:47" ht="24.75" customHeight="1" x14ac:dyDescent="0.25">
      <c r="B20" s="12"/>
      <c r="C20" s="12"/>
      <c r="D20" s="12"/>
      <c r="E20" s="627" t="s">
        <v>82</v>
      </c>
      <c r="F20" s="628"/>
      <c r="G20" s="628"/>
      <c r="H20" s="628"/>
      <c r="I20" s="631" t="s">
        <v>40</v>
      </c>
      <c r="J20" s="631"/>
      <c r="K20" s="631"/>
      <c r="L20" s="632"/>
      <c r="O20" s="268"/>
      <c r="P20" s="620" t="s">
        <v>293</v>
      </c>
      <c r="Q20" s="621"/>
      <c r="R20" s="621"/>
      <c r="S20" s="621"/>
      <c r="T20" s="621"/>
      <c r="U20" s="621"/>
      <c r="V20" s="622"/>
      <c r="W20" s="268"/>
      <c r="X20" s="268"/>
      <c r="Y20" s="268"/>
      <c r="AA20" s="269"/>
      <c r="AB20" s="270"/>
      <c r="AC20" s="270"/>
      <c r="AD20" s="270"/>
      <c r="AM20" s="269"/>
      <c r="AN20" s="269"/>
      <c r="AO20" s="269"/>
      <c r="AP20" s="269"/>
      <c r="AQ20" s="269"/>
      <c r="AR20" s="269"/>
      <c r="AS20" s="269"/>
      <c r="AT20" s="269"/>
      <c r="AU20" s="269"/>
    </row>
    <row r="21" spans="1:47" ht="20.100000000000001" customHeight="1" thickBot="1" x14ac:dyDescent="0.3">
      <c r="B21" s="12"/>
      <c r="C21" s="12"/>
      <c r="D21" s="12"/>
      <c r="E21" s="629"/>
      <c r="F21" s="630"/>
      <c r="G21" s="630"/>
      <c r="H21" s="630"/>
      <c r="I21" s="633"/>
      <c r="J21" s="633"/>
      <c r="K21" s="633"/>
      <c r="L21" s="634"/>
      <c r="O21" s="53"/>
      <c r="P21" s="271" t="s">
        <v>294</v>
      </c>
      <c r="Q21" s="53"/>
      <c r="R21" s="53"/>
      <c r="S21" s="53" t="s">
        <v>295</v>
      </c>
      <c r="T21" s="53"/>
      <c r="U21" s="53"/>
      <c r="V21" s="272" t="s">
        <v>296</v>
      </c>
      <c r="W21" s="53"/>
      <c r="X21" s="53"/>
      <c r="Y21" s="53"/>
      <c r="AC21" s="254"/>
      <c r="AD21" s="254"/>
    </row>
    <row r="22" spans="1:47" ht="20.100000000000001" customHeight="1" x14ac:dyDescent="0.25">
      <c r="B22" s="12"/>
      <c r="C22" s="12"/>
      <c r="D22" s="12"/>
      <c r="E22" s="273" t="s">
        <v>72</v>
      </c>
      <c r="F22" s="274"/>
      <c r="G22" s="274"/>
      <c r="H22" s="274"/>
      <c r="I22" s="635">
        <v>3.45</v>
      </c>
      <c r="J22" s="635"/>
      <c r="K22" s="635"/>
      <c r="L22" s="636"/>
      <c r="O22" s="53"/>
      <c r="P22" s="271">
        <v>1.5</v>
      </c>
      <c r="Q22" s="53"/>
      <c r="R22" s="53"/>
      <c r="S22" s="53">
        <v>3.45</v>
      </c>
      <c r="T22" s="53"/>
      <c r="U22" s="53"/>
      <c r="V22" s="272">
        <v>4.49</v>
      </c>
      <c r="W22" s="53"/>
      <c r="X22" s="53"/>
      <c r="Y22" s="53"/>
      <c r="AC22" s="254"/>
      <c r="AD22" s="254"/>
    </row>
    <row r="23" spans="1:47" ht="20.100000000000001" customHeight="1" x14ac:dyDescent="0.25">
      <c r="B23" s="12"/>
      <c r="C23" s="12"/>
      <c r="D23" s="12"/>
      <c r="E23" s="273" t="s">
        <v>73</v>
      </c>
      <c r="F23" s="274"/>
      <c r="G23" s="274"/>
      <c r="H23" s="274"/>
      <c r="I23" s="616">
        <v>0.48</v>
      </c>
      <c r="J23" s="616"/>
      <c r="K23" s="616"/>
      <c r="L23" s="617"/>
      <c r="O23" s="53"/>
      <c r="P23" s="271">
        <v>0.3</v>
      </c>
      <c r="Q23" s="53"/>
      <c r="R23" s="53"/>
      <c r="S23" s="53">
        <v>0.48</v>
      </c>
      <c r="T23" s="53"/>
      <c r="U23" s="53"/>
      <c r="V23" s="272">
        <v>0.82</v>
      </c>
      <c r="W23" s="53"/>
      <c r="X23" s="53"/>
      <c r="Y23" s="53"/>
      <c r="AC23" s="254"/>
      <c r="AD23" s="254"/>
    </row>
    <row r="24" spans="1:47" ht="20.100000000000001" customHeight="1" x14ac:dyDescent="0.25">
      <c r="B24" s="12"/>
      <c r="C24" s="12"/>
      <c r="D24" s="12"/>
      <c r="E24" s="273" t="s">
        <v>74</v>
      </c>
      <c r="F24" s="274"/>
      <c r="G24" s="274"/>
      <c r="H24" s="274"/>
      <c r="I24" s="616">
        <v>0.85</v>
      </c>
      <c r="J24" s="616"/>
      <c r="K24" s="616"/>
      <c r="L24" s="617"/>
      <c r="O24" s="53"/>
      <c r="P24" s="271">
        <v>0.56000000000000005</v>
      </c>
      <c r="Q24" s="53"/>
      <c r="R24" s="53"/>
      <c r="S24" s="53">
        <v>0.85</v>
      </c>
      <c r="T24" s="53"/>
      <c r="U24" s="53"/>
      <c r="V24" s="272">
        <v>0.89</v>
      </c>
      <c r="W24" s="53"/>
      <c r="X24" s="53"/>
      <c r="Y24" s="53"/>
      <c r="AC24" s="254"/>
      <c r="AD24" s="254"/>
    </row>
    <row r="25" spans="1:47" ht="20.100000000000001" customHeight="1" x14ac:dyDescent="0.25">
      <c r="B25" s="12"/>
      <c r="C25" s="12"/>
      <c r="D25" s="12"/>
      <c r="E25" s="273" t="s">
        <v>75</v>
      </c>
      <c r="F25" s="274"/>
      <c r="G25" s="274"/>
      <c r="H25" s="274"/>
      <c r="I25" s="616">
        <v>0.85</v>
      </c>
      <c r="J25" s="616"/>
      <c r="K25" s="616"/>
      <c r="L25" s="617"/>
      <c r="O25" s="53"/>
      <c r="P25" s="271">
        <v>0.85</v>
      </c>
      <c r="Q25" s="53"/>
      <c r="R25" s="53"/>
      <c r="S25" s="53">
        <v>0.85</v>
      </c>
      <c r="T25" s="53"/>
      <c r="U25" s="53"/>
      <c r="V25" s="272">
        <v>1.1100000000000001</v>
      </c>
      <c r="W25" s="53"/>
      <c r="X25" s="53"/>
      <c r="Y25" s="53"/>
      <c r="AC25" s="254"/>
      <c r="AD25" s="254"/>
    </row>
    <row r="26" spans="1:47" ht="20.100000000000001" customHeight="1" x14ac:dyDescent="0.25">
      <c r="B26" s="12"/>
      <c r="C26" s="12"/>
      <c r="D26" s="12"/>
      <c r="E26" s="273" t="s">
        <v>76</v>
      </c>
      <c r="F26" s="274"/>
      <c r="G26" s="274"/>
      <c r="H26" s="274"/>
      <c r="I26" s="616">
        <v>5.1100000000000003</v>
      </c>
      <c r="J26" s="616"/>
      <c r="K26" s="616"/>
      <c r="L26" s="617"/>
      <c r="O26" s="53"/>
      <c r="P26" s="271">
        <v>3.5</v>
      </c>
      <c r="Q26" s="53"/>
      <c r="R26" s="53"/>
      <c r="S26" s="53">
        <v>5.1100000000000003</v>
      </c>
      <c r="T26" s="53"/>
      <c r="U26" s="53"/>
      <c r="V26" s="272">
        <v>6.22</v>
      </c>
      <c r="W26" s="53"/>
      <c r="X26" s="53"/>
      <c r="Y26" s="53"/>
      <c r="Z26" s="296"/>
      <c r="AA26" s="297"/>
      <c r="AB26" s="275"/>
      <c r="AC26" s="254"/>
      <c r="AD26" s="254"/>
    </row>
    <row r="27" spans="1:47" ht="20.100000000000001" customHeight="1" x14ac:dyDescent="0.25">
      <c r="B27" s="12"/>
      <c r="C27" s="12"/>
      <c r="D27" s="12"/>
      <c r="E27" s="273" t="s">
        <v>77</v>
      </c>
      <c r="F27" s="274"/>
      <c r="G27" s="274"/>
      <c r="H27" s="274"/>
      <c r="I27" s="616">
        <v>0.65</v>
      </c>
      <c r="J27" s="616"/>
      <c r="K27" s="616"/>
      <c r="L27" s="617"/>
      <c r="O27" s="53"/>
      <c r="P27" s="271">
        <v>0.65</v>
      </c>
      <c r="Q27" s="53"/>
      <c r="R27" s="53"/>
      <c r="S27" s="53">
        <v>0.65</v>
      </c>
      <c r="T27" s="53"/>
      <c r="U27" s="53"/>
      <c r="V27" s="272">
        <v>0.65</v>
      </c>
      <c r="W27" s="53"/>
      <c r="X27" s="53"/>
      <c r="Y27" s="53"/>
      <c r="AC27" s="254"/>
      <c r="AD27" s="254"/>
    </row>
    <row r="28" spans="1:47" ht="20.100000000000001" customHeight="1" x14ac:dyDescent="0.25">
      <c r="B28" s="12"/>
      <c r="C28" s="12"/>
      <c r="D28" s="12"/>
      <c r="E28" s="273" t="s">
        <v>78</v>
      </c>
      <c r="F28" s="274"/>
      <c r="G28" s="274"/>
      <c r="H28" s="274"/>
      <c r="I28" s="616">
        <v>3</v>
      </c>
      <c r="J28" s="616"/>
      <c r="K28" s="616"/>
      <c r="L28" s="617"/>
      <c r="O28" s="53"/>
      <c r="P28" s="271">
        <v>3</v>
      </c>
      <c r="Q28" s="53"/>
      <c r="R28" s="53"/>
      <c r="S28" s="53">
        <v>3</v>
      </c>
      <c r="T28" s="53"/>
      <c r="U28" s="53"/>
      <c r="V28" s="272">
        <v>3</v>
      </c>
      <c r="W28" s="53"/>
      <c r="X28" s="53"/>
      <c r="Y28" s="53"/>
      <c r="AC28" s="254"/>
      <c r="AD28" s="254"/>
    </row>
    <row r="29" spans="1:47" ht="20.100000000000001" customHeight="1" thickBot="1" x14ac:dyDescent="0.3">
      <c r="B29" s="12"/>
      <c r="C29" s="12"/>
      <c r="D29" s="12"/>
      <c r="E29" s="273" t="s">
        <v>79</v>
      </c>
      <c r="F29" s="274"/>
      <c r="G29" s="274"/>
      <c r="H29" s="274"/>
      <c r="I29" s="616"/>
      <c r="J29" s="616"/>
      <c r="K29" s="616"/>
      <c r="L29" s="617"/>
      <c r="O29" s="53"/>
      <c r="P29" s="276">
        <v>2</v>
      </c>
      <c r="Q29" s="277"/>
      <c r="R29" s="277"/>
      <c r="S29" s="277">
        <v>2</v>
      </c>
      <c r="T29" s="277"/>
      <c r="U29" s="277"/>
      <c r="V29" s="278">
        <v>5</v>
      </c>
      <c r="W29" s="53"/>
      <c r="X29" s="53"/>
      <c r="Y29" s="53"/>
      <c r="AC29" s="254"/>
      <c r="AD29" s="254"/>
    </row>
    <row r="30" spans="1:47" ht="20.100000000000001" customHeight="1" thickBot="1" x14ac:dyDescent="0.3">
      <c r="B30" s="12"/>
      <c r="C30" s="12"/>
      <c r="D30" s="12"/>
      <c r="E30" s="273" t="s">
        <v>83</v>
      </c>
      <c r="F30" s="274"/>
      <c r="G30" s="274"/>
      <c r="H30" s="274"/>
      <c r="I30" s="616">
        <v>4.5</v>
      </c>
      <c r="J30" s="616"/>
      <c r="K30" s="616"/>
      <c r="L30" s="617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AB30" s="279"/>
      <c r="AC30" s="254"/>
      <c r="AD30" s="254"/>
      <c r="AE30" s="254"/>
      <c r="AF30" s="254"/>
      <c r="AG30" s="254"/>
      <c r="AH30" s="254"/>
      <c r="AI30" s="254"/>
      <c r="AJ30" s="254"/>
    </row>
    <row r="31" spans="1:47" ht="25.5" customHeight="1" thickBot="1" x14ac:dyDescent="0.3">
      <c r="A31" s="54"/>
      <c r="B31" s="292"/>
      <c r="C31" s="280"/>
      <c r="D31" s="281"/>
      <c r="E31" s="282" t="s">
        <v>41</v>
      </c>
      <c r="F31" s="283"/>
      <c r="G31" s="283"/>
      <c r="H31" s="283"/>
      <c r="I31" s="618">
        <f>TRUNC((((((1+I22/100+I23/100+I24/100)*(1+I25/100)*(1+I26/100))/(1-(I27/100+I28/100+I29/100+I30/100)))-1)*100),2)</f>
        <v>20.92</v>
      </c>
      <c r="J31" s="618"/>
      <c r="K31" s="618"/>
      <c r="L31" s="619"/>
      <c r="M31" s="284"/>
      <c r="N31" s="284"/>
      <c r="O31" s="284"/>
      <c r="P31" s="620" t="s">
        <v>297</v>
      </c>
      <c r="Q31" s="621"/>
      <c r="R31" s="621"/>
      <c r="S31" s="621"/>
      <c r="T31" s="621"/>
      <c r="U31" s="621"/>
      <c r="V31" s="622"/>
      <c r="W31" s="284"/>
      <c r="X31" s="284"/>
      <c r="Y31" s="12"/>
      <c r="Z31" s="54"/>
      <c r="AB31" s="285"/>
      <c r="AC31" s="285"/>
      <c r="AD31" s="285"/>
      <c r="AE31" s="285"/>
      <c r="AF31" s="285"/>
      <c r="AG31" s="285"/>
      <c r="AH31" s="285"/>
      <c r="AI31" s="285"/>
      <c r="AJ31" s="285"/>
    </row>
    <row r="32" spans="1:47" ht="20.100000000000001" customHeight="1" thickBot="1" x14ac:dyDescent="0.3">
      <c r="A32" s="54"/>
      <c r="B32" s="292"/>
      <c r="C32" s="280"/>
      <c r="D32" s="281"/>
      <c r="E32" s="281"/>
      <c r="F32" s="281"/>
      <c r="G32" s="281"/>
      <c r="H32" s="281"/>
      <c r="I32" s="281"/>
      <c r="J32" s="281"/>
      <c r="K32" s="284"/>
      <c r="L32" s="284"/>
      <c r="M32" s="284"/>
      <c r="N32" s="284"/>
      <c r="O32" s="284"/>
      <c r="P32" s="276">
        <v>11.1</v>
      </c>
      <c r="Q32" s="277"/>
      <c r="R32" s="277"/>
      <c r="S32" s="277">
        <v>14.02</v>
      </c>
      <c r="T32" s="277"/>
      <c r="U32" s="277"/>
      <c r="V32" s="278">
        <v>16.8</v>
      </c>
      <c r="W32" s="284"/>
      <c r="X32" s="284"/>
      <c r="Y32" s="12"/>
      <c r="Z32" s="54"/>
      <c r="AB32" s="285"/>
      <c r="AC32" s="285"/>
      <c r="AD32" s="285"/>
      <c r="AE32" s="285"/>
      <c r="AF32" s="285"/>
      <c r="AG32" s="285"/>
      <c r="AH32" s="285"/>
      <c r="AI32" s="285"/>
      <c r="AJ32" s="285"/>
    </row>
    <row r="33" spans="1:36" ht="20.100000000000001" customHeight="1" x14ac:dyDescent="0.25">
      <c r="A33" s="54"/>
      <c r="B33" s="292"/>
      <c r="C33" s="280"/>
      <c r="D33" s="281"/>
      <c r="E33" s="281"/>
      <c r="F33" s="281"/>
      <c r="G33" s="281"/>
      <c r="H33" s="281"/>
      <c r="I33" s="281"/>
      <c r="J33" s="281"/>
      <c r="K33" s="284"/>
      <c r="L33" s="284"/>
      <c r="M33" s="284"/>
      <c r="N33" s="284"/>
      <c r="O33" s="284"/>
      <c r="P33" s="614"/>
      <c r="Q33" s="614"/>
      <c r="R33" s="614"/>
      <c r="S33" s="614"/>
      <c r="T33" s="614"/>
      <c r="U33" s="614"/>
      <c r="V33" s="614"/>
      <c r="W33" s="284"/>
      <c r="X33" s="284"/>
      <c r="Y33" s="12"/>
      <c r="Z33" s="54"/>
      <c r="AB33" s="285"/>
      <c r="AC33" s="285"/>
      <c r="AD33" s="285"/>
      <c r="AE33" s="285"/>
      <c r="AF33" s="285"/>
      <c r="AG33" s="285"/>
      <c r="AH33" s="285"/>
      <c r="AI33" s="285"/>
      <c r="AJ33" s="285"/>
    </row>
    <row r="34" spans="1:36" ht="23.1" customHeight="1" x14ac:dyDescent="0.25">
      <c r="B34" s="623" t="s">
        <v>84</v>
      </c>
      <c r="C34" s="623"/>
      <c r="D34" s="623"/>
      <c r="E34" s="623"/>
      <c r="F34" s="623"/>
      <c r="G34" s="623"/>
      <c r="H34" s="623"/>
      <c r="I34" s="623"/>
      <c r="J34" s="623"/>
      <c r="K34" s="623"/>
      <c r="L34" s="623"/>
      <c r="M34" s="623"/>
      <c r="N34" s="623"/>
      <c r="O34" s="623"/>
      <c r="P34" s="623"/>
      <c r="Q34" s="623"/>
      <c r="R34" s="623"/>
      <c r="S34" s="623"/>
      <c r="T34" s="623"/>
      <c r="U34" s="623"/>
      <c r="V34" s="623"/>
      <c r="W34" s="623"/>
      <c r="X34" s="623"/>
      <c r="Y34" s="623"/>
      <c r="AB34" s="254"/>
      <c r="AC34" s="254"/>
      <c r="AD34" s="286"/>
      <c r="AE34" s="287"/>
      <c r="AF34" s="254"/>
      <c r="AG34" s="254"/>
      <c r="AH34" s="254"/>
      <c r="AI34" s="254"/>
      <c r="AJ34" s="254"/>
    </row>
    <row r="35" spans="1:36" ht="9.9499999999999993" customHeight="1" x14ac:dyDescent="0.25">
      <c r="B35" s="615"/>
      <c r="C35" s="615"/>
      <c r="D35" s="615"/>
      <c r="E35" s="615"/>
      <c r="F35" s="615"/>
      <c r="G35" s="615"/>
      <c r="H35" s="615"/>
      <c r="I35" s="615"/>
      <c r="J35" s="615"/>
      <c r="K35" s="615"/>
      <c r="L35" s="615"/>
      <c r="M35" s="615"/>
      <c r="N35" s="615"/>
      <c r="O35" s="615"/>
      <c r="P35" s="615"/>
      <c r="Q35" s="615"/>
      <c r="R35" s="615"/>
      <c r="S35" s="615"/>
      <c r="T35" s="615"/>
      <c r="U35" s="615"/>
      <c r="V35" s="615"/>
      <c r="W35" s="615"/>
      <c r="X35" s="615"/>
      <c r="Y35" s="615"/>
      <c r="AB35" s="254"/>
      <c r="AC35" s="254"/>
      <c r="AD35" s="254"/>
      <c r="AE35" s="254"/>
      <c r="AF35" s="254"/>
      <c r="AG35" s="254"/>
      <c r="AH35" s="254"/>
      <c r="AI35" s="254"/>
      <c r="AJ35" s="254"/>
    </row>
    <row r="36" spans="1:36" ht="23.1" customHeight="1" x14ac:dyDescent="0.25">
      <c r="B36" s="612" t="s">
        <v>85</v>
      </c>
      <c r="C36" s="612"/>
      <c r="D36" s="612"/>
      <c r="E36" s="612"/>
      <c r="F36" s="612"/>
      <c r="G36" s="612"/>
      <c r="H36" s="612"/>
      <c r="I36" s="612"/>
      <c r="J36" s="612"/>
      <c r="K36" s="612"/>
      <c r="L36" s="612"/>
      <c r="M36" s="612"/>
      <c r="N36" s="612"/>
      <c r="O36" s="612"/>
      <c r="P36" s="612"/>
      <c r="Q36" s="612"/>
      <c r="R36" s="612"/>
      <c r="S36" s="612"/>
      <c r="T36" s="612"/>
      <c r="U36" s="612"/>
      <c r="V36" s="612"/>
      <c r="W36" s="612"/>
      <c r="X36" s="612"/>
      <c r="Y36" s="612"/>
      <c r="AB36" s="254"/>
      <c r="AC36" s="254"/>
      <c r="AD36" s="286"/>
      <c r="AE36" s="254"/>
      <c r="AF36" s="254"/>
      <c r="AG36" s="254"/>
      <c r="AH36" s="254"/>
      <c r="AI36" s="254"/>
      <c r="AJ36" s="254"/>
    </row>
    <row r="37" spans="1:36" ht="23.1" customHeight="1" x14ac:dyDescent="0.25">
      <c r="B37" s="613"/>
      <c r="C37" s="613"/>
      <c r="D37" s="613"/>
      <c r="E37" s="613"/>
      <c r="F37" s="613"/>
      <c r="G37" s="613"/>
      <c r="H37" s="613"/>
      <c r="I37" s="613"/>
      <c r="J37" s="613"/>
      <c r="K37" s="613"/>
      <c r="L37" s="613"/>
      <c r="M37" s="613"/>
      <c r="N37" s="613"/>
      <c r="O37" s="613"/>
      <c r="P37" s="613"/>
      <c r="Q37" s="613"/>
      <c r="R37" s="613"/>
      <c r="S37" s="613"/>
      <c r="T37" s="613"/>
      <c r="U37" s="613"/>
      <c r="V37" s="613"/>
      <c r="W37" s="613"/>
      <c r="X37" s="613"/>
      <c r="Y37" s="613"/>
      <c r="AB37" s="254"/>
      <c r="AC37" s="254"/>
      <c r="AD37" s="254"/>
      <c r="AE37" s="254"/>
      <c r="AF37" s="254"/>
      <c r="AG37" s="254"/>
      <c r="AH37" s="254"/>
      <c r="AI37" s="254"/>
      <c r="AJ37" s="254"/>
    </row>
    <row r="38" spans="1:36" ht="23.1" customHeight="1" x14ac:dyDescent="0.25">
      <c r="B38" s="293"/>
      <c r="C38" s="293"/>
      <c r="D38" s="293"/>
      <c r="E38" s="293"/>
      <c r="F38" s="293"/>
      <c r="G38" s="293"/>
      <c r="H38" s="293"/>
      <c r="I38" s="293"/>
      <c r="J38" s="293"/>
      <c r="K38" s="293"/>
      <c r="L38" s="293"/>
      <c r="M38" s="293"/>
      <c r="N38" s="293"/>
      <c r="O38" s="293"/>
      <c r="P38" s="293"/>
      <c r="Q38" s="293"/>
      <c r="R38" s="293"/>
      <c r="S38" s="293"/>
      <c r="T38" s="293"/>
      <c r="U38" s="293"/>
      <c r="V38" s="293"/>
      <c r="W38" s="293"/>
      <c r="X38" s="293"/>
      <c r="Y38" s="293"/>
    </row>
    <row r="39" spans="1:36" ht="23.1" customHeight="1" x14ac:dyDescent="0.25">
      <c r="A39" s="54"/>
      <c r="B39" s="292" t="s">
        <v>87</v>
      </c>
      <c r="C39" s="288"/>
      <c r="D39" s="288"/>
      <c r="E39" s="288"/>
      <c r="F39" s="288"/>
      <c r="G39" s="288"/>
      <c r="H39" s="288"/>
      <c r="I39" s="288"/>
      <c r="J39" s="280"/>
      <c r="K39" s="280"/>
      <c r="L39" s="280"/>
      <c r="M39" s="289"/>
      <c r="N39" s="289"/>
      <c r="O39" s="289"/>
      <c r="P39" s="290"/>
      <c r="Q39" s="290"/>
      <c r="R39" s="290"/>
      <c r="S39" s="290"/>
      <c r="T39" s="290"/>
      <c r="U39" s="290"/>
      <c r="V39" s="290"/>
      <c r="W39" s="290"/>
      <c r="X39" s="290"/>
      <c r="Y39" s="290"/>
      <c r="Z39" s="54"/>
    </row>
    <row r="40" spans="1:36" ht="23.1" customHeight="1" x14ac:dyDescent="0.25">
      <c r="A40" s="54"/>
      <c r="B40" s="292" t="s">
        <v>88</v>
      </c>
      <c r="C40" s="280"/>
      <c r="D40" s="281"/>
      <c r="E40" s="281"/>
      <c r="F40" s="281"/>
      <c r="G40" s="281"/>
      <c r="H40" s="281"/>
      <c r="I40" s="281"/>
      <c r="J40" s="281"/>
      <c r="K40" s="284"/>
      <c r="L40" s="284"/>
      <c r="M40" s="284"/>
      <c r="N40" s="284"/>
      <c r="O40" s="284"/>
      <c r="P40" s="284"/>
      <c r="Q40" s="284"/>
      <c r="R40" s="284"/>
      <c r="S40" s="284"/>
      <c r="T40" s="284"/>
      <c r="U40" s="284"/>
      <c r="V40" s="284"/>
      <c r="W40" s="284"/>
      <c r="X40" s="284"/>
      <c r="Y40" s="12"/>
      <c r="Z40" s="54"/>
      <c r="AB40" s="285"/>
      <c r="AC40" s="285"/>
      <c r="AD40" s="285"/>
      <c r="AE40" s="285"/>
      <c r="AF40" s="285"/>
      <c r="AG40" s="285"/>
      <c r="AH40" s="285"/>
      <c r="AI40" s="285"/>
      <c r="AJ40" s="285"/>
    </row>
    <row r="41" spans="1:36" ht="23.1" customHeight="1" x14ac:dyDescent="0.25">
      <c r="A41" s="54"/>
      <c r="B41" s="292" t="s">
        <v>89</v>
      </c>
      <c r="C41" s="280"/>
      <c r="D41" s="281"/>
      <c r="E41" s="281"/>
      <c r="F41" s="281"/>
      <c r="G41" s="281"/>
      <c r="H41" s="281"/>
      <c r="I41" s="281"/>
      <c r="J41" s="281"/>
      <c r="K41" s="284"/>
      <c r="L41" s="284"/>
      <c r="M41" s="284"/>
      <c r="N41" s="284"/>
      <c r="O41" s="284"/>
      <c r="P41" s="284"/>
      <c r="Q41" s="284"/>
      <c r="R41" s="284"/>
      <c r="S41" s="284"/>
      <c r="T41" s="284"/>
      <c r="U41" s="284"/>
      <c r="V41" s="284"/>
      <c r="W41" s="284"/>
      <c r="X41" s="284"/>
      <c r="Y41" s="12"/>
      <c r="Z41" s="54"/>
      <c r="AB41" s="285"/>
      <c r="AC41" s="285"/>
      <c r="AD41" s="285"/>
      <c r="AE41" s="285"/>
      <c r="AF41" s="285"/>
      <c r="AG41" s="285"/>
      <c r="AH41" s="285"/>
      <c r="AI41" s="285"/>
      <c r="AJ41" s="285"/>
    </row>
    <row r="42" spans="1:36" ht="23.1" customHeight="1" x14ac:dyDescent="0.25">
      <c r="A42" s="54"/>
      <c r="B42" s="292" t="s">
        <v>90</v>
      </c>
      <c r="C42" s="288"/>
      <c r="D42" s="288"/>
      <c r="E42" s="288"/>
      <c r="F42" s="288"/>
      <c r="G42" s="288"/>
      <c r="H42" s="288"/>
      <c r="I42" s="288"/>
      <c r="J42" s="280"/>
      <c r="K42" s="280"/>
      <c r="L42" s="280"/>
      <c r="M42" s="289"/>
      <c r="N42" s="289"/>
      <c r="O42" s="289"/>
      <c r="P42" s="290"/>
      <c r="Q42" s="290"/>
      <c r="R42" s="290"/>
      <c r="S42" s="290"/>
      <c r="T42" s="290"/>
      <c r="U42" s="290"/>
      <c r="V42" s="290"/>
      <c r="W42" s="290"/>
      <c r="X42" s="290"/>
      <c r="Y42" s="290"/>
      <c r="Z42" s="54"/>
    </row>
    <row r="43" spans="1:36" ht="23.1" customHeight="1" x14ac:dyDescent="0.25">
      <c r="A43" s="54"/>
      <c r="B43" s="292" t="s">
        <v>91</v>
      </c>
      <c r="C43" s="280"/>
      <c r="D43" s="281"/>
      <c r="E43" s="281"/>
      <c r="F43" s="281"/>
      <c r="G43" s="281"/>
      <c r="H43" s="281"/>
      <c r="I43" s="281"/>
      <c r="J43" s="281"/>
      <c r="K43" s="284"/>
      <c r="L43" s="284"/>
      <c r="M43" s="284"/>
      <c r="N43" s="284"/>
      <c r="O43" s="284"/>
      <c r="P43" s="284"/>
      <c r="Q43" s="284"/>
      <c r="R43" s="284"/>
      <c r="S43" s="284"/>
      <c r="T43" s="284"/>
      <c r="U43" s="284"/>
      <c r="V43" s="284"/>
      <c r="W43" s="284"/>
      <c r="X43" s="284"/>
      <c r="Y43" s="12"/>
      <c r="Z43" s="54"/>
      <c r="AB43" s="285"/>
      <c r="AC43" s="285"/>
      <c r="AD43" s="285"/>
      <c r="AE43" s="285"/>
      <c r="AF43" s="285"/>
      <c r="AG43" s="285"/>
      <c r="AH43" s="285"/>
      <c r="AI43" s="285"/>
      <c r="AJ43" s="285"/>
    </row>
    <row r="44" spans="1:36" ht="23.1" customHeight="1" x14ac:dyDescent="0.25">
      <c r="A44" s="54"/>
      <c r="B44" s="292" t="s">
        <v>92</v>
      </c>
      <c r="C44" s="280"/>
      <c r="D44" s="281"/>
      <c r="E44" s="281"/>
      <c r="F44" s="281"/>
      <c r="G44" s="281"/>
      <c r="H44" s="281"/>
      <c r="I44" s="281"/>
      <c r="J44" s="281"/>
      <c r="K44" s="284"/>
      <c r="L44" s="284"/>
      <c r="M44" s="284"/>
      <c r="N44" s="284"/>
      <c r="O44" s="284"/>
      <c r="P44" s="284"/>
      <c r="Q44" s="284"/>
      <c r="R44" s="284"/>
      <c r="S44" s="284"/>
      <c r="T44" s="284"/>
      <c r="U44" s="284"/>
      <c r="V44" s="284"/>
      <c r="W44" s="284"/>
      <c r="X44" s="284"/>
      <c r="Y44" s="12"/>
      <c r="Z44" s="54"/>
      <c r="AB44" s="285"/>
      <c r="AC44" s="285"/>
      <c r="AD44" s="285"/>
      <c r="AE44" s="285"/>
      <c r="AF44" s="285"/>
      <c r="AG44" s="285"/>
      <c r="AH44" s="285"/>
      <c r="AI44" s="285"/>
      <c r="AJ44" s="285"/>
    </row>
    <row r="45" spans="1:36" ht="23.1" customHeight="1" x14ac:dyDescent="0.25">
      <c r="A45" s="54"/>
      <c r="B45" s="280"/>
      <c r="C45" s="280"/>
      <c r="D45" s="281"/>
      <c r="E45" s="281"/>
      <c r="F45" s="281"/>
      <c r="G45" s="281"/>
      <c r="H45" s="281"/>
      <c r="I45" s="281"/>
      <c r="J45" s="281"/>
      <c r="K45" s="284"/>
      <c r="L45" s="284"/>
      <c r="M45" s="284"/>
      <c r="N45" s="284"/>
      <c r="O45" s="284"/>
      <c r="P45" s="284"/>
      <c r="Q45" s="284"/>
      <c r="R45" s="284"/>
      <c r="S45" s="284"/>
      <c r="T45" s="284"/>
      <c r="U45" s="284"/>
      <c r="V45" s="284"/>
      <c r="W45" s="284"/>
      <c r="X45" s="284"/>
      <c r="Y45" s="12"/>
      <c r="Z45" s="54"/>
      <c r="AB45" s="285"/>
      <c r="AC45" s="285"/>
      <c r="AD45" s="285"/>
      <c r="AE45" s="285"/>
      <c r="AF45" s="285"/>
      <c r="AG45" s="285"/>
      <c r="AH45" s="285"/>
      <c r="AI45" s="285"/>
      <c r="AJ45" s="285"/>
    </row>
    <row r="46" spans="1:36" s="54" customFormat="1" ht="23.1" customHeight="1" x14ac:dyDescent="0.25">
      <c r="B46" s="595" t="s">
        <v>42</v>
      </c>
      <c r="C46" s="595"/>
      <c r="D46" s="595"/>
      <c r="E46" s="595"/>
      <c r="F46" s="595"/>
      <c r="G46" s="595"/>
      <c r="H46" s="595"/>
      <c r="I46" s="595"/>
      <c r="J46" s="595"/>
      <c r="K46" s="595"/>
      <c r="L46" s="595"/>
      <c r="M46" s="595"/>
      <c r="N46" s="595"/>
      <c r="O46" s="595"/>
      <c r="P46" s="595"/>
      <c r="Q46" s="595"/>
      <c r="R46" s="595"/>
      <c r="S46" s="595"/>
      <c r="T46" s="595"/>
      <c r="U46" s="595"/>
      <c r="V46" s="595"/>
      <c r="W46" s="595"/>
      <c r="X46" s="595"/>
      <c r="Y46" s="595"/>
      <c r="Z46" s="295"/>
      <c r="AB46" s="291"/>
      <c r="AC46" s="291"/>
      <c r="AD46" s="291"/>
      <c r="AE46" s="291"/>
      <c r="AF46" s="291"/>
      <c r="AG46" s="291"/>
      <c r="AH46" s="291"/>
      <c r="AI46" s="291"/>
      <c r="AJ46" s="291"/>
    </row>
    <row r="47" spans="1:36" s="54" customFormat="1" ht="23.1" customHeight="1" x14ac:dyDescent="0.25">
      <c r="B47" s="613" t="str">
        <f>"Declaro para os devidos fins que, conforme legislação tributária do município de "&amp;G14&amp;", a base de cálculo do ISS para "&amp;G15&amp;", é de "&amp;(G16*100)&amp;"%, com a respectiva alíquota de "&amp;ROUND(K16*100,2)&amp;"% sobre o valor da mão de obra."</f>
        <v>Declaro para os devidos fins que, conforme legislação tributária do município de TERESINA - PI, a base de cálculo do ISS para Construção de Edifícios e Reformas (Quadras, unidades habitacionais, escolas, restaurantes, etc), é de 60%, com a respectiva alíquota de 3% sobre o valor da mão de obra.</v>
      </c>
      <c r="C47" s="613"/>
      <c r="D47" s="613"/>
      <c r="E47" s="613"/>
      <c r="F47" s="613"/>
      <c r="G47" s="613"/>
      <c r="H47" s="613"/>
      <c r="I47" s="613"/>
      <c r="J47" s="613"/>
      <c r="K47" s="613"/>
      <c r="L47" s="613"/>
      <c r="M47" s="613"/>
      <c r="N47" s="613"/>
      <c r="O47" s="613"/>
      <c r="P47" s="613"/>
      <c r="Q47" s="613"/>
      <c r="R47" s="613"/>
      <c r="S47" s="613"/>
      <c r="T47" s="613"/>
      <c r="U47" s="613"/>
      <c r="V47" s="613"/>
      <c r="W47" s="613"/>
      <c r="X47" s="613"/>
      <c r="Y47" s="613"/>
      <c r="Z47" s="295"/>
      <c r="AB47" s="291"/>
      <c r="AC47" s="291"/>
      <c r="AD47" s="291"/>
      <c r="AE47" s="291"/>
      <c r="AF47" s="291"/>
      <c r="AG47" s="291"/>
      <c r="AH47" s="291"/>
      <c r="AI47" s="291"/>
      <c r="AJ47" s="291"/>
    </row>
    <row r="48" spans="1:36" s="54" customFormat="1" ht="23.1" customHeight="1" x14ac:dyDescent="0.25">
      <c r="B48" s="613"/>
      <c r="C48" s="613"/>
      <c r="D48" s="613"/>
      <c r="E48" s="613"/>
      <c r="F48" s="613"/>
      <c r="G48" s="613"/>
      <c r="H48" s="613"/>
      <c r="I48" s="613"/>
      <c r="J48" s="613"/>
      <c r="K48" s="613"/>
      <c r="L48" s="613"/>
      <c r="M48" s="613"/>
      <c r="N48" s="613"/>
      <c r="O48" s="613"/>
      <c r="P48" s="613"/>
      <c r="Q48" s="613"/>
      <c r="R48" s="613"/>
      <c r="S48" s="613"/>
      <c r="T48" s="613"/>
      <c r="U48" s="613"/>
      <c r="V48" s="613"/>
      <c r="W48" s="613"/>
      <c r="X48" s="613"/>
      <c r="Y48" s="613"/>
      <c r="Z48" s="295"/>
      <c r="AB48" s="291"/>
      <c r="AC48" s="291"/>
      <c r="AD48" s="291"/>
      <c r="AE48" s="291"/>
      <c r="AF48" s="291"/>
      <c r="AG48" s="291"/>
      <c r="AH48" s="291"/>
      <c r="AI48" s="291"/>
      <c r="AJ48" s="291"/>
    </row>
    <row r="49" spans="2:36" s="54" customFormat="1" ht="23.1" customHeight="1" x14ac:dyDescent="0.25">
      <c r="B49" s="613"/>
      <c r="C49" s="613"/>
      <c r="D49" s="613"/>
      <c r="E49" s="613"/>
      <c r="F49" s="613"/>
      <c r="G49" s="613"/>
      <c r="H49" s="613"/>
      <c r="I49" s="613"/>
      <c r="J49" s="613"/>
      <c r="K49" s="613"/>
      <c r="L49" s="613"/>
      <c r="M49" s="613"/>
      <c r="N49" s="613"/>
      <c r="O49" s="613"/>
      <c r="P49" s="613"/>
      <c r="Q49" s="613"/>
      <c r="R49" s="613"/>
      <c r="S49" s="613"/>
      <c r="T49" s="613"/>
      <c r="U49" s="613"/>
      <c r="V49" s="613"/>
      <c r="W49" s="613"/>
      <c r="X49" s="613"/>
      <c r="Y49" s="613"/>
      <c r="Z49" s="295"/>
      <c r="AB49" s="291"/>
      <c r="AC49" s="291"/>
      <c r="AD49" s="291"/>
      <c r="AE49" s="291"/>
      <c r="AF49" s="291"/>
      <c r="AG49" s="291"/>
      <c r="AH49" s="291"/>
      <c r="AI49" s="291"/>
      <c r="AJ49" s="291"/>
    </row>
    <row r="50" spans="2:36" s="54" customFormat="1" ht="12.75" customHeight="1" x14ac:dyDescent="0.25">
      <c r="B50" s="290"/>
      <c r="C50" s="290"/>
      <c r="D50" s="290"/>
      <c r="E50" s="290"/>
      <c r="F50" s="290"/>
      <c r="G50" s="290"/>
      <c r="H50" s="290"/>
      <c r="I50" s="290"/>
      <c r="J50" s="290"/>
      <c r="K50" s="290"/>
      <c r="L50" s="290"/>
      <c r="M50" s="290"/>
      <c r="N50" s="290"/>
      <c r="O50" s="290"/>
      <c r="P50" s="290"/>
      <c r="Q50" s="290"/>
      <c r="R50" s="290"/>
      <c r="S50" s="290"/>
      <c r="T50" s="290"/>
      <c r="U50" s="290"/>
      <c r="V50" s="290"/>
      <c r="W50" s="290"/>
      <c r="X50" s="290"/>
      <c r="Y50" s="290"/>
      <c r="Z50" s="295"/>
      <c r="AB50" s="291"/>
      <c r="AC50" s="291"/>
      <c r="AD50" s="291"/>
      <c r="AE50" s="291"/>
      <c r="AF50" s="291"/>
      <c r="AG50" s="291"/>
      <c r="AH50" s="291"/>
      <c r="AI50" s="291"/>
      <c r="AJ50" s="291"/>
    </row>
    <row r="51" spans="2:36" s="54" customFormat="1" x14ac:dyDescent="0.25">
      <c r="B51" s="290"/>
      <c r="C51" s="290"/>
      <c r="D51" s="290"/>
      <c r="E51" s="290"/>
      <c r="F51" s="290"/>
      <c r="G51" s="290"/>
      <c r="H51" s="290"/>
      <c r="I51" s="290"/>
      <c r="J51" s="290"/>
      <c r="K51" s="290"/>
      <c r="L51" s="290"/>
      <c r="M51" s="290"/>
      <c r="N51" s="290"/>
      <c r="O51" s="290"/>
      <c r="P51" s="290"/>
      <c r="Q51" s="290"/>
      <c r="R51" s="290"/>
      <c r="S51" s="290"/>
      <c r="T51" s="290"/>
      <c r="U51" s="290"/>
      <c r="V51" s="290"/>
      <c r="W51" s="290"/>
      <c r="X51" s="290"/>
      <c r="Y51" s="290"/>
      <c r="Z51" s="295"/>
      <c r="AB51" s="291"/>
      <c r="AC51" s="291"/>
      <c r="AD51" s="291"/>
      <c r="AE51" s="291"/>
      <c r="AF51" s="291"/>
      <c r="AG51" s="291"/>
      <c r="AH51" s="291"/>
      <c r="AI51" s="291"/>
      <c r="AJ51" s="291"/>
    </row>
    <row r="52" spans="2:36" s="54" customFormat="1" x14ac:dyDescent="0.25">
      <c r="B52" s="290"/>
      <c r="C52" s="290"/>
      <c r="D52" s="290"/>
      <c r="E52" s="290"/>
      <c r="F52" s="290"/>
      <c r="G52" s="290"/>
      <c r="H52" s="290"/>
      <c r="I52" s="290"/>
      <c r="J52" s="290"/>
      <c r="K52" s="290"/>
      <c r="L52" s="290"/>
      <c r="M52" s="290"/>
      <c r="N52" s="290"/>
      <c r="O52" s="290"/>
      <c r="P52" s="290"/>
      <c r="Q52" s="290"/>
      <c r="R52" s="290"/>
      <c r="S52" s="290"/>
      <c r="T52" s="290"/>
      <c r="U52" s="290"/>
      <c r="V52" s="290"/>
      <c r="W52" s="290"/>
      <c r="X52" s="290"/>
      <c r="Y52" s="290"/>
      <c r="Z52" s="295"/>
      <c r="AB52" s="291"/>
      <c r="AC52" s="291"/>
      <c r="AD52" s="291"/>
      <c r="AE52" s="291"/>
      <c r="AF52" s="291"/>
      <c r="AG52" s="291"/>
      <c r="AH52" s="291"/>
      <c r="AI52" s="291"/>
      <c r="AJ52" s="291"/>
    </row>
    <row r="53" spans="2:36" s="54" customFormat="1" x14ac:dyDescent="0.25">
      <c r="B53" s="290"/>
      <c r="C53" s="290"/>
      <c r="D53" s="290"/>
      <c r="E53" s="290"/>
      <c r="F53" s="290"/>
      <c r="G53" s="290"/>
      <c r="H53" s="290"/>
      <c r="I53" s="290"/>
      <c r="J53" s="290"/>
      <c r="K53" s="290"/>
      <c r="L53" s="290"/>
      <c r="M53" s="290"/>
      <c r="N53" s="290"/>
      <c r="O53" s="290"/>
      <c r="P53" s="290"/>
      <c r="Q53" s="290"/>
      <c r="R53" s="290"/>
      <c r="S53" s="290"/>
      <c r="T53" s="290"/>
      <c r="U53" s="290"/>
      <c r="V53" s="290"/>
      <c r="W53" s="290"/>
      <c r="X53" s="290"/>
      <c r="Y53" s="290"/>
      <c r="Z53" s="295"/>
      <c r="AB53" s="291"/>
      <c r="AC53" s="291"/>
      <c r="AD53" s="291"/>
      <c r="AE53" s="291"/>
      <c r="AF53" s="291"/>
      <c r="AG53" s="291"/>
      <c r="AH53" s="291"/>
      <c r="AI53" s="291"/>
      <c r="AJ53" s="291"/>
    </row>
    <row r="54" spans="2:36" s="54" customFormat="1" x14ac:dyDescent="0.25">
      <c r="B54" s="290"/>
      <c r="C54" s="290"/>
      <c r="D54" s="290"/>
      <c r="E54" s="290"/>
      <c r="F54" s="290"/>
      <c r="G54" s="290"/>
      <c r="H54" s="290"/>
      <c r="I54" s="290"/>
      <c r="J54" s="290"/>
      <c r="K54" s="290"/>
      <c r="L54" s="290"/>
      <c r="M54" s="290"/>
      <c r="N54" s="290"/>
      <c r="O54" s="290"/>
      <c r="P54" s="290"/>
      <c r="Q54" s="290"/>
      <c r="R54" s="290"/>
      <c r="S54" s="290"/>
      <c r="T54" s="290"/>
      <c r="U54" s="290"/>
      <c r="V54" s="290"/>
      <c r="W54" s="290"/>
      <c r="X54" s="290"/>
      <c r="Y54" s="290"/>
      <c r="Z54" s="295"/>
      <c r="AB54" s="291"/>
      <c r="AC54" s="291"/>
      <c r="AD54" s="291"/>
      <c r="AE54" s="291"/>
      <c r="AF54" s="291"/>
      <c r="AG54" s="291"/>
      <c r="AH54" s="291"/>
      <c r="AI54" s="291"/>
      <c r="AJ54" s="291"/>
    </row>
    <row r="55" spans="2:36" s="54" customFormat="1" x14ac:dyDescent="0.25">
      <c r="B55" s="290"/>
      <c r="C55" s="290"/>
      <c r="D55" s="290"/>
      <c r="E55" s="290"/>
      <c r="F55" s="290"/>
      <c r="G55" s="290"/>
      <c r="H55" s="290"/>
      <c r="I55" s="290"/>
      <c r="J55" s="290"/>
      <c r="K55" s="290"/>
      <c r="L55" s="290"/>
      <c r="M55" s="290"/>
      <c r="N55" s="290"/>
      <c r="O55" s="290"/>
      <c r="P55" s="290"/>
      <c r="Q55" s="290"/>
      <c r="R55" s="290"/>
      <c r="S55" s="290"/>
      <c r="T55" s="290"/>
      <c r="U55" s="290"/>
      <c r="V55" s="290"/>
      <c r="W55" s="290"/>
      <c r="X55" s="290"/>
      <c r="Y55" s="290"/>
      <c r="Z55" s="295"/>
      <c r="AB55" s="291"/>
      <c r="AC55" s="291"/>
      <c r="AD55" s="291"/>
      <c r="AE55" s="291"/>
      <c r="AF55" s="291"/>
      <c r="AG55" s="291"/>
      <c r="AH55" s="291"/>
      <c r="AI55" s="291"/>
      <c r="AJ55" s="291"/>
    </row>
    <row r="56" spans="2:36" s="54" customFormat="1" x14ac:dyDescent="0.25">
      <c r="B56" s="290"/>
      <c r="C56" s="290"/>
      <c r="D56" s="290"/>
      <c r="E56" s="290"/>
      <c r="F56" s="290"/>
      <c r="G56" s="290"/>
      <c r="H56" s="290"/>
      <c r="I56" s="290"/>
      <c r="J56" s="290"/>
      <c r="K56" s="290"/>
      <c r="L56" s="290"/>
      <c r="M56" s="290"/>
      <c r="N56" s="290"/>
      <c r="O56" s="290"/>
      <c r="P56" s="290"/>
      <c r="Q56" s="290"/>
      <c r="R56" s="290"/>
      <c r="S56" s="290"/>
      <c r="T56" s="290"/>
      <c r="U56" s="290"/>
      <c r="V56" s="290"/>
      <c r="W56" s="290"/>
      <c r="X56" s="290"/>
      <c r="Y56" s="290"/>
      <c r="Z56" s="295"/>
      <c r="AB56" s="291"/>
      <c r="AC56" s="291"/>
      <c r="AD56" s="291"/>
      <c r="AE56" s="291"/>
      <c r="AF56" s="291"/>
      <c r="AG56" s="291"/>
      <c r="AH56" s="291"/>
      <c r="AI56" s="291"/>
      <c r="AJ56" s="291"/>
    </row>
    <row r="57" spans="2:36" s="54" customFormat="1" x14ac:dyDescent="0.25">
      <c r="B57" s="290"/>
      <c r="C57" s="290"/>
      <c r="D57" s="290"/>
      <c r="E57" s="290"/>
      <c r="F57" s="290"/>
      <c r="G57" s="290"/>
      <c r="H57" s="290"/>
      <c r="I57" s="290"/>
      <c r="J57" s="290"/>
      <c r="K57" s="290"/>
      <c r="L57" s="290"/>
      <c r="M57" s="290"/>
      <c r="N57" s="290"/>
      <c r="O57" s="290"/>
      <c r="P57" s="290"/>
      <c r="Q57" s="290"/>
      <c r="R57" s="290"/>
      <c r="S57" s="290"/>
      <c r="T57" s="290"/>
      <c r="U57" s="290"/>
      <c r="V57" s="290"/>
      <c r="W57" s="290"/>
      <c r="X57" s="290"/>
      <c r="Y57" s="290"/>
      <c r="Z57" s="295"/>
      <c r="AB57" s="291"/>
      <c r="AC57" s="291"/>
      <c r="AD57" s="291"/>
      <c r="AE57" s="291"/>
      <c r="AF57" s="291"/>
      <c r="AG57" s="291"/>
      <c r="AH57" s="291"/>
      <c r="AI57" s="291"/>
      <c r="AJ57" s="291"/>
    </row>
    <row r="58" spans="2:36" s="54" customFormat="1" x14ac:dyDescent="0.25">
      <c r="B58" s="290"/>
      <c r="C58" s="290"/>
      <c r="D58" s="290"/>
      <c r="E58" s="290"/>
      <c r="F58" s="290"/>
      <c r="G58" s="290"/>
      <c r="H58" s="290"/>
      <c r="I58" s="290"/>
      <c r="J58" s="290"/>
      <c r="K58" s="290"/>
      <c r="L58" s="290"/>
      <c r="M58" s="290"/>
      <c r="N58" s="290"/>
      <c r="O58" s="290"/>
      <c r="P58" s="290"/>
      <c r="Q58" s="290"/>
      <c r="R58" s="290"/>
      <c r="S58" s="290"/>
      <c r="T58" s="290"/>
      <c r="U58" s="290"/>
      <c r="V58" s="290"/>
      <c r="W58" s="290"/>
      <c r="X58" s="290"/>
      <c r="Y58" s="290"/>
      <c r="Z58" s="295"/>
      <c r="AB58" s="291"/>
      <c r="AC58" s="291"/>
      <c r="AD58" s="291"/>
      <c r="AE58" s="291"/>
      <c r="AF58" s="291"/>
      <c r="AG58" s="291"/>
      <c r="AH58" s="291"/>
      <c r="AI58" s="291"/>
      <c r="AJ58" s="291"/>
    </row>
    <row r="59" spans="2:36" s="54" customFormat="1" x14ac:dyDescent="0.25">
      <c r="B59" s="290"/>
      <c r="C59" s="290"/>
      <c r="D59" s="290"/>
      <c r="E59" s="290"/>
      <c r="F59" s="290"/>
      <c r="G59" s="290"/>
      <c r="H59" s="290"/>
      <c r="I59" s="290"/>
      <c r="J59" s="290"/>
      <c r="K59" s="290"/>
      <c r="L59" s="290"/>
      <c r="M59" s="290"/>
      <c r="N59" s="290"/>
      <c r="O59" s="290"/>
      <c r="P59" s="290"/>
      <c r="Q59" s="290"/>
      <c r="R59" s="290"/>
      <c r="S59" s="290"/>
      <c r="T59" s="290"/>
      <c r="U59" s="290"/>
      <c r="V59" s="290"/>
      <c r="W59" s="290"/>
      <c r="X59" s="290"/>
      <c r="Y59" s="290"/>
      <c r="Z59" s="295"/>
      <c r="AB59" s="291"/>
      <c r="AC59" s="291"/>
      <c r="AD59" s="291"/>
      <c r="AE59" s="291"/>
      <c r="AF59" s="291"/>
      <c r="AG59" s="291"/>
      <c r="AH59" s="291"/>
      <c r="AI59" s="291"/>
      <c r="AJ59" s="291"/>
    </row>
    <row r="60" spans="2:36" s="54" customFormat="1" x14ac:dyDescent="0.25">
      <c r="B60" s="290"/>
      <c r="C60" s="290"/>
      <c r="D60" s="290"/>
      <c r="E60" s="290"/>
      <c r="F60" s="290"/>
      <c r="G60" s="290"/>
      <c r="H60" s="290"/>
      <c r="I60" s="290"/>
      <c r="J60" s="290"/>
      <c r="K60" s="290"/>
      <c r="L60" s="290"/>
      <c r="M60" s="290"/>
      <c r="N60" s="290"/>
      <c r="O60" s="290"/>
      <c r="P60" s="290"/>
      <c r="Q60" s="290"/>
      <c r="R60" s="290"/>
      <c r="S60" s="290"/>
      <c r="T60" s="290"/>
      <c r="U60" s="290"/>
      <c r="V60" s="290"/>
      <c r="W60" s="290"/>
      <c r="X60" s="290"/>
      <c r="Y60" s="290"/>
      <c r="Z60" s="295"/>
      <c r="AB60" s="291"/>
      <c r="AC60" s="291"/>
      <c r="AD60" s="291"/>
      <c r="AE60" s="291"/>
      <c r="AF60" s="291"/>
      <c r="AG60" s="291"/>
      <c r="AH60" s="291"/>
      <c r="AI60" s="291"/>
      <c r="AJ60" s="291"/>
    </row>
    <row r="61" spans="2:36" s="54" customFormat="1" x14ac:dyDescent="0.25">
      <c r="B61" s="290"/>
      <c r="C61" s="290"/>
      <c r="D61" s="290"/>
      <c r="E61" s="290"/>
      <c r="F61" s="290"/>
      <c r="G61" s="290"/>
      <c r="H61" s="290"/>
      <c r="I61" s="290"/>
      <c r="J61" s="290"/>
      <c r="K61" s="290"/>
      <c r="L61" s="290"/>
      <c r="M61" s="290"/>
      <c r="N61" s="290"/>
      <c r="O61" s="290"/>
      <c r="P61" s="290"/>
      <c r="Q61" s="290"/>
      <c r="R61" s="290"/>
      <c r="S61" s="290"/>
      <c r="T61" s="290"/>
      <c r="U61" s="290"/>
      <c r="V61" s="290"/>
      <c r="W61" s="290"/>
      <c r="X61" s="290"/>
      <c r="Y61" s="290"/>
      <c r="Z61" s="295"/>
      <c r="AB61" s="291"/>
      <c r="AC61" s="291"/>
      <c r="AD61" s="291"/>
      <c r="AE61" s="291"/>
      <c r="AF61" s="291"/>
      <c r="AG61" s="291"/>
      <c r="AH61" s="291"/>
      <c r="AI61" s="291"/>
      <c r="AJ61" s="291"/>
    </row>
    <row r="62" spans="2:36" s="54" customFormat="1" x14ac:dyDescent="0.25">
      <c r="B62" s="290"/>
      <c r="C62" s="290"/>
      <c r="D62" s="290"/>
      <c r="E62" s="290"/>
      <c r="F62" s="290"/>
      <c r="G62" s="290"/>
      <c r="H62" s="290"/>
      <c r="I62" s="290"/>
      <c r="J62" s="290"/>
      <c r="K62" s="290"/>
      <c r="L62" s="290"/>
      <c r="M62" s="290"/>
      <c r="N62" s="290"/>
      <c r="O62" s="290"/>
      <c r="P62" s="290"/>
      <c r="Q62" s="290"/>
      <c r="R62" s="290"/>
      <c r="S62" s="290"/>
      <c r="T62" s="290"/>
      <c r="U62" s="290"/>
      <c r="V62" s="290"/>
      <c r="W62" s="290"/>
      <c r="X62" s="290"/>
      <c r="Y62" s="290"/>
      <c r="Z62" s="295"/>
      <c r="AB62" s="291"/>
      <c r="AC62" s="291"/>
      <c r="AD62" s="291"/>
      <c r="AE62" s="291"/>
      <c r="AF62" s="291"/>
      <c r="AG62" s="291"/>
      <c r="AH62" s="291"/>
      <c r="AI62" s="291"/>
      <c r="AJ62" s="291"/>
    </row>
    <row r="63" spans="2:36" s="54" customFormat="1" x14ac:dyDescent="0.25">
      <c r="B63" s="290"/>
      <c r="C63" s="290"/>
      <c r="D63" s="290"/>
      <c r="E63" s="290"/>
      <c r="F63" s="290"/>
      <c r="G63" s="290"/>
      <c r="H63" s="290"/>
      <c r="I63" s="290"/>
      <c r="J63" s="290"/>
      <c r="K63" s="290"/>
      <c r="L63" s="290"/>
      <c r="M63" s="290"/>
      <c r="N63" s="290"/>
      <c r="O63" s="290"/>
      <c r="P63" s="290"/>
      <c r="Q63" s="290"/>
      <c r="R63" s="290"/>
      <c r="S63" s="290"/>
      <c r="T63" s="290"/>
      <c r="U63" s="290"/>
      <c r="V63" s="290"/>
      <c r="W63" s="290"/>
      <c r="X63" s="290"/>
      <c r="Y63" s="290"/>
      <c r="Z63" s="295"/>
      <c r="AB63" s="291"/>
      <c r="AC63" s="291"/>
      <c r="AD63" s="291"/>
      <c r="AE63" s="291"/>
      <c r="AF63" s="291"/>
      <c r="AG63" s="291"/>
      <c r="AH63" s="291"/>
      <c r="AI63" s="291"/>
      <c r="AJ63" s="291"/>
    </row>
    <row r="64" spans="2:36" s="54" customFormat="1" x14ac:dyDescent="0.25">
      <c r="B64" s="290"/>
      <c r="C64" s="290"/>
      <c r="D64" s="290"/>
      <c r="E64" s="290"/>
      <c r="F64" s="290"/>
      <c r="G64" s="290"/>
      <c r="H64" s="290"/>
      <c r="I64" s="290"/>
      <c r="J64" s="290"/>
      <c r="K64" s="290"/>
      <c r="L64" s="290"/>
      <c r="M64" s="290"/>
      <c r="N64" s="290"/>
      <c r="O64" s="290"/>
      <c r="P64" s="290"/>
      <c r="Q64" s="290"/>
      <c r="R64" s="290"/>
      <c r="S64" s="290"/>
      <c r="T64" s="290"/>
      <c r="U64" s="290"/>
      <c r="V64" s="290"/>
      <c r="W64" s="290"/>
      <c r="X64" s="290"/>
      <c r="Y64" s="290"/>
      <c r="Z64" s="295"/>
      <c r="AB64" s="291"/>
      <c r="AC64" s="291"/>
      <c r="AD64" s="291"/>
      <c r="AE64" s="291"/>
      <c r="AF64" s="291"/>
      <c r="AG64" s="291"/>
      <c r="AH64" s="291"/>
      <c r="AI64" s="291"/>
      <c r="AJ64" s="291"/>
    </row>
    <row r="65" spans="2:36" s="54" customFormat="1" x14ac:dyDescent="0.25">
      <c r="B65" s="290"/>
      <c r="C65" s="290"/>
      <c r="D65" s="290"/>
      <c r="E65" s="290"/>
      <c r="F65" s="290"/>
      <c r="G65" s="290"/>
      <c r="H65" s="290"/>
      <c r="I65" s="290"/>
      <c r="J65" s="290"/>
      <c r="K65" s="290"/>
      <c r="L65" s="290"/>
      <c r="M65" s="290"/>
      <c r="N65" s="290"/>
      <c r="O65" s="290"/>
      <c r="P65" s="290"/>
      <c r="Q65" s="290"/>
      <c r="R65" s="290"/>
      <c r="S65" s="290"/>
      <c r="T65" s="290"/>
      <c r="U65" s="290"/>
      <c r="V65" s="290"/>
      <c r="W65" s="290"/>
      <c r="X65" s="290"/>
      <c r="Y65" s="290"/>
      <c r="Z65" s="295"/>
      <c r="AB65" s="291"/>
      <c r="AC65" s="291"/>
      <c r="AD65" s="291"/>
      <c r="AE65" s="291"/>
      <c r="AF65" s="291"/>
      <c r="AG65" s="291"/>
      <c r="AH65" s="291"/>
      <c r="AI65" s="291"/>
      <c r="AJ65" s="291"/>
    </row>
    <row r="66" spans="2:36" s="54" customFormat="1" x14ac:dyDescent="0.25">
      <c r="B66" s="290"/>
      <c r="C66" s="290"/>
      <c r="D66" s="290"/>
      <c r="E66" s="290"/>
      <c r="F66" s="290"/>
      <c r="G66" s="290"/>
      <c r="H66" s="290"/>
      <c r="I66" s="290"/>
      <c r="J66" s="290"/>
      <c r="K66" s="290"/>
      <c r="L66" s="290"/>
      <c r="M66" s="290"/>
      <c r="N66" s="290"/>
      <c r="O66" s="290"/>
      <c r="P66" s="290"/>
      <c r="Q66" s="290"/>
      <c r="R66" s="290"/>
      <c r="S66" s="290"/>
      <c r="T66" s="290"/>
      <c r="U66" s="290"/>
      <c r="V66" s="290"/>
      <c r="W66" s="290"/>
      <c r="X66" s="290"/>
      <c r="Y66" s="290"/>
      <c r="Z66" s="295"/>
      <c r="AB66" s="291"/>
      <c r="AC66" s="291"/>
      <c r="AD66" s="291"/>
      <c r="AE66" s="291"/>
      <c r="AF66" s="291"/>
      <c r="AG66" s="291"/>
      <c r="AH66" s="291"/>
      <c r="AI66" s="291"/>
      <c r="AJ66" s="291"/>
    </row>
    <row r="67" spans="2:36" s="54" customFormat="1" x14ac:dyDescent="0.25">
      <c r="B67" s="290"/>
      <c r="C67" s="290"/>
      <c r="D67" s="290"/>
      <c r="E67" s="290"/>
      <c r="F67" s="290"/>
      <c r="G67" s="290"/>
      <c r="H67" s="290"/>
      <c r="I67" s="290"/>
      <c r="J67" s="290"/>
      <c r="K67" s="290"/>
      <c r="L67" s="290"/>
      <c r="M67" s="290"/>
      <c r="N67" s="290"/>
      <c r="O67" s="290"/>
      <c r="P67" s="290"/>
      <c r="Q67" s="290"/>
      <c r="R67" s="290"/>
      <c r="S67" s="290"/>
      <c r="T67" s="290"/>
      <c r="U67" s="290"/>
      <c r="V67" s="290"/>
      <c r="W67" s="290"/>
      <c r="X67" s="290"/>
      <c r="Y67" s="290"/>
      <c r="Z67" s="295"/>
      <c r="AB67" s="291"/>
      <c r="AC67" s="291"/>
      <c r="AD67" s="291"/>
      <c r="AE67" s="291"/>
      <c r="AF67" s="291"/>
      <c r="AG67" s="291"/>
      <c r="AH67" s="291"/>
      <c r="AI67" s="291"/>
      <c r="AJ67" s="291"/>
    </row>
    <row r="68" spans="2:36" s="54" customFormat="1" x14ac:dyDescent="0.25">
      <c r="B68" s="290"/>
      <c r="C68" s="290"/>
      <c r="D68" s="290"/>
      <c r="E68" s="290"/>
      <c r="F68" s="290"/>
      <c r="G68" s="290"/>
      <c r="H68" s="290"/>
      <c r="I68" s="290"/>
      <c r="J68" s="290"/>
      <c r="K68" s="290"/>
      <c r="L68" s="290"/>
      <c r="M68" s="290"/>
      <c r="N68" s="290"/>
      <c r="O68" s="290"/>
      <c r="P68" s="290"/>
      <c r="Q68" s="290"/>
      <c r="R68" s="290"/>
      <c r="S68" s="290"/>
      <c r="T68" s="290"/>
      <c r="U68" s="290"/>
      <c r="V68" s="290"/>
      <c r="W68" s="290"/>
      <c r="X68" s="290"/>
      <c r="Y68" s="290"/>
      <c r="Z68" s="295"/>
      <c r="AB68" s="291"/>
      <c r="AC68" s="291"/>
      <c r="AD68" s="291"/>
      <c r="AE68" s="291"/>
      <c r="AF68" s="291"/>
      <c r="AG68" s="291"/>
      <c r="AH68" s="291"/>
      <c r="AI68" s="291"/>
      <c r="AJ68" s="291"/>
    </row>
    <row r="69" spans="2:36" s="54" customFormat="1" x14ac:dyDescent="0.25">
      <c r="Z69" s="295"/>
      <c r="AB69" s="291"/>
      <c r="AC69" s="291"/>
      <c r="AD69" s="291"/>
      <c r="AE69" s="291"/>
      <c r="AF69" s="291"/>
      <c r="AG69" s="291"/>
      <c r="AH69" s="291"/>
      <c r="AI69" s="291"/>
      <c r="AJ69" s="291"/>
    </row>
    <row r="70" spans="2:36" s="54" customFormat="1" x14ac:dyDescent="0.25">
      <c r="Z70" s="295"/>
      <c r="AB70" s="291"/>
      <c r="AC70" s="291"/>
      <c r="AD70" s="291"/>
      <c r="AE70" s="291"/>
      <c r="AF70" s="291"/>
      <c r="AG70" s="291"/>
      <c r="AH70" s="291"/>
      <c r="AI70" s="291"/>
      <c r="AJ70" s="291"/>
    </row>
    <row r="71" spans="2:36" s="54" customFormat="1" x14ac:dyDescent="0.25">
      <c r="Z71" s="295"/>
      <c r="AB71" s="291"/>
      <c r="AC71" s="291"/>
      <c r="AD71" s="291"/>
      <c r="AE71" s="291"/>
      <c r="AF71" s="291"/>
      <c r="AG71" s="291"/>
      <c r="AH71" s="291"/>
      <c r="AI71" s="291"/>
      <c r="AJ71" s="291"/>
    </row>
    <row r="72" spans="2:36" s="54" customFormat="1" x14ac:dyDescent="0.25">
      <c r="Z72" s="295"/>
      <c r="AB72" s="291"/>
      <c r="AC72" s="291"/>
      <c r="AD72" s="291"/>
      <c r="AE72" s="291"/>
      <c r="AF72" s="291"/>
      <c r="AG72" s="291"/>
      <c r="AH72" s="291"/>
      <c r="AI72" s="291"/>
      <c r="AJ72" s="291"/>
    </row>
    <row r="73" spans="2:36" s="54" customFormat="1" x14ac:dyDescent="0.25">
      <c r="Z73" s="295"/>
      <c r="AB73" s="291"/>
      <c r="AC73" s="291"/>
      <c r="AD73" s="291"/>
      <c r="AE73" s="291"/>
      <c r="AF73" s="291"/>
      <c r="AG73" s="291"/>
      <c r="AH73" s="291"/>
      <c r="AI73" s="291"/>
      <c r="AJ73" s="291"/>
    </row>
    <row r="74" spans="2:36" s="54" customFormat="1" x14ac:dyDescent="0.25">
      <c r="Z74" s="295"/>
      <c r="AB74" s="291"/>
      <c r="AC74" s="291"/>
      <c r="AD74" s="291"/>
      <c r="AE74" s="291"/>
      <c r="AF74" s="291"/>
      <c r="AG74" s="291"/>
      <c r="AH74" s="291"/>
      <c r="AI74" s="291"/>
      <c r="AJ74" s="291"/>
    </row>
  </sheetData>
  <mergeCells count="31">
    <mergeCell ref="I22:L22"/>
    <mergeCell ref="B1:Y6"/>
    <mergeCell ref="B13:F13"/>
    <mergeCell ref="G13:Y13"/>
    <mergeCell ref="B14:F14"/>
    <mergeCell ref="G14:Y14"/>
    <mergeCell ref="B15:F15"/>
    <mergeCell ref="G15:Y15"/>
    <mergeCell ref="B16:F16"/>
    <mergeCell ref="G16:I16"/>
    <mergeCell ref="E20:H21"/>
    <mergeCell ref="I20:L21"/>
    <mergeCell ref="P20:V20"/>
    <mergeCell ref="D11:R11"/>
    <mergeCell ref="B34:Y34"/>
    <mergeCell ref="I23:L23"/>
    <mergeCell ref="I24:L24"/>
    <mergeCell ref="I25:L25"/>
    <mergeCell ref="I26:L26"/>
    <mergeCell ref="I27:L27"/>
    <mergeCell ref="I28:L28"/>
    <mergeCell ref="I29:L29"/>
    <mergeCell ref="I30:L30"/>
    <mergeCell ref="I31:L31"/>
    <mergeCell ref="P31:V31"/>
    <mergeCell ref="P33:V33"/>
    <mergeCell ref="B35:Y35"/>
    <mergeCell ref="B36:Y36"/>
    <mergeCell ref="B37:Y37"/>
    <mergeCell ref="B46:Y46"/>
    <mergeCell ref="B47:Y49"/>
  </mergeCells>
  <conditionalFormatting sqref="G14:Y15">
    <cfRule type="cellIs" dxfId="1" priority="2" stopIfTrue="1" operator="equal">
      <formula>0</formula>
    </cfRule>
  </conditionalFormatting>
  <conditionalFormatting sqref="I22:I28">
    <cfRule type="cellIs" dxfId="0" priority="1" stopIfTrue="1" operator="equal">
      <formula>0</formula>
    </cfRule>
  </conditionalFormatting>
  <printOptions horizontalCentered="1"/>
  <pageMargins left="0.51181102362204722" right="0.51181102362204722" top="0.78740157480314965" bottom="0.78740157480314965" header="0.31496062992125984" footer="0.31496062992125984"/>
  <pageSetup paperSize="9" scale="57" orientation="portrait" horizontalDpi="1200" verticalDpi="1200" r:id="rId1"/>
  <headerFooter>
    <oddFooter>&amp;L&amp;"Arial Narrow,Normal"&amp;10&amp;A
&amp;F&amp;R&amp;"Arial Narrow,Normal"&amp;10Página &amp;P de &amp;N</oddFooter>
  </headerFooter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8">
    <tabColor theme="4" tint="0.39997558519241921"/>
  </sheetPr>
  <dimension ref="A1:Q183"/>
  <sheetViews>
    <sheetView showGridLines="0" showZeros="0" view="pageBreakPreview" topLeftCell="A166" zoomScale="85" zoomScaleNormal="70" zoomScaleSheetLayoutView="85" workbookViewId="0"/>
  </sheetViews>
  <sheetFormatPr defaultColWidth="9.140625" defaultRowHeight="12.75" x14ac:dyDescent="0.25"/>
  <cols>
    <col min="1" max="1" width="1.5703125" style="21" customWidth="1"/>
    <col min="2" max="2" width="9.140625" style="21" customWidth="1"/>
    <col min="3" max="3" width="13" style="21" customWidth="1"/>
    <col min="4" max="4" width="11" style="21" customWidth="1"/>
    <col min="5" max="8" width="1.5703125" style="21" customWidth="1"/>
    <col min="9" max="12" width="16.5703125" style="21" customWidth="1"/>
    <col min="13" max="13" width="30.42578125" style="21" customWidth="1"/>
    <col min="14" max="14" width="8.42578125" style="21" customWidth="1"/>
    <col min="15" max="15" width="10.5703125" style="90" customWidth="1"/>
    <col min="16" max="16" width="10.5703125" style="79" customWidth="1"/>
    <col min="17" max="17" width="12.5703125" style="90" customWidth="1"/>
    <col min="18" max="18" width="1.5703125" style="21" customWidth="1"/>
    <col min="19" max="19" width="13" style="21" customWidth="1"/>
    <col min="20" max="20" width="11.5703125" style="21" bestFit="1" customWidth="1"/>
    <col min="21" max="21" width="47.42578125" style="21" bestFit="1" customWidth="1"/>
    <col min="22" max="22" width="11.42578125" style="21" bestFit="1" customWidth="1"/>
    <col min="23" max="16384" width="9.140625" style="21"/>
  </cols>
  <sheetData>
    <row r="1" spans="1:17" ht="9.9499999999999993" customHeight="1" x14ac:dyDescent="0.25">
      <c r="B1" s="480" t="s">
        <v>66</v>
      </c>
      <c r="C1" s="480"/>
      <c r="D1" s="480"/>
      <c r="E1" s="480"/>
      <c r="F1" s="480"/>
      <c r="G1" s="480"/>
      <c r="H1" s="480"/>
      <c r="I1" s="480"/>
      <c r="J1" s="480"/>
      <c r="K1" s="480"/>
      <c r="L1" s="480"/>
      <c r="M1" s="480"/>
      <c r="N1" s="480"/>
      <c r="O1" s="480"/>
      <c r="P1" s="480"/>
      <c r="Q1" s="480"/>
    </row>
    <row r="2" spans="1:17" ht="9.9499999999999993" customHeight="1" x14ac:dyDescent="0.25">
      <c r="B2" s="480"/>
      <c r="C2" s="480"/>
      <c r="D2" s="480"/>
      <c r="E2" s="480"/>
      <c r="F2" s="480"/>
      <c r="G2" s="480"/>
      <c r="H2" s="480"/>
      <c r="I2" s="480"/>
      <c r="J2" s="480"/>
      <c r="K2" s="480"/>
      <c r="L2" s="480"/>
      <c r="M2" s="480"/>
      <c r="N2" s="480"/>
      <c r="O2" s="480"/>
      <c r="P2" s="480"/>
      <c r="Q2" s="480"/>
    </row>
    <row r="3" spans="1:17" ht="9.9499999999999993" customHeight="1" x14ac:dyDescent="0.25">
      <c r="B3" s="480"/>
      <c r="C3" s="480"/>
      <c r="D3" s="480"/>
      <c r="E3" s="480"/>
      <c r="F3" s="480"/>
      <c r="G3" s="480"/>
      <c r="H3" s="480"/>
      <c r="I3" s="480"/>
      <c r="J3" s="480"/>
      <c r="K3" s="480"/>
      <c r="L3" s="480"/>
      <c r="M3" s="480"/>
      <c r="N3" s="480"/>
      <c r="O3" s="480"/>
      <c r="P3" s="480"/>
      <c r="Q3" s="480"/>
    </row>
    <row r="4" spans="1:17" ht="9.9499999999999993" customHeight="1" x14ac:dyDescent="0.25">
      <c r="B4" s="480"/>
      <c r="C4" s="480"/>
      <c r="D4" s="480"/>
      <c r="E4" s="480"/>
      <c r="F4" s="480"/>
      <c r="G4" s="480"/>
      <c r="H4" s="480"/>
      <c r="I4" s="480"/>
      <c r="J4" s="480"/>
      <c r="K4" s="480"/>
      <c r="L4" s="480"/>
      <c r="M4" s="480"/>
      <c r="N4" s="480"/>
      <c r="O4" s="480"/>
      <c r="P4" s="480"/>
      <c r="Q4" s="480"/>
    </row>
    <row r="5" spans="1:17" ht="9.9499999999999993" customHeight="1" x14ac:dyDescent="0.25">
      <c r="B5" s="480"/>
      <c r="C5" s="480"/>
      <c r="D5" s="480"/>
      <c r="E5" s="480"/>
      <c r="F5" s="480"/>
      <c r="G5" s="480"/>
      <c r="H5" s="480"/>
      <c r="I5" s="480"/>
      <c r="J5" s="480"/>
      <c r="K5" s="480"/>
      <c r="L5" s="480"/>
      <c r="M5" s="480"/>
      <c r="N5" s="480"/>
      <c r="O5" s="480"/>
      <c r="P5" s="480"/>
      <c r="Q5" s="480"/>
    </row>
    <row r="6" spans="1:17" ht="9.9499999999999993" customHeight="1" x14ac:dyDescent="0.25">
      <c r="B6" s="480"/>
      <c r="C6" s="480"/>
      <c r="D6" s="480"/>
      <c r="E6" s="480"/>
      <c r="F6" s="480"/>
      <c r="G6" s="480"/>
      <c r="H6" s="480"/>
      <c r="I6" s="480"/>
      <c r="J6" s="480"/>
      <c r="K6" s="480"/>
      <c r="L6" s="480"/>
      <c r="M6" s="480"/>
      <c r="N6" s="480"/>
      <c r="O6" s="480"/>
      <c r="P6" s="480"/>
      <c r="Q6" s="480"/>
    </row>
    <row r="7" spans="1:17" x14ac:dyDescent="0.25">
      <c r="O7" s="21"/>
      <c r="P7" s="21"/>
      <c r="Q7" s="21"/>
    </row>
    <row r="8" spans="1:17" s="12" customFormat="1" ht="15" customHeight="1" x14ac:dyDescent="0.25">
      <c r="B8" s="8" t="s">
        <v>49</v>
      </c>
      <c r="C8" s="9" t="str">
        <f>+'ORÇ. SINTÉTICO ONERADO'!C8</f>
        <v>TRIBUNAL REGIONAL ELEITORAL - PIAUÍ</v>
      </c>
      <c r="F8" s="9"/>
      <c r="G8" s="9"/>
      <c r="H8" s="9"/>
      <c r="I8" s="9"/>
      <c r="J8" s="9"/>
      <c r="K8" s="9"/>
      <c r="O8" s="71"/>
      <c r="P8" s="10" t="s">
        <v>50</v>
      </c>
      <c r="Q8" s="11" t="str">
        <f>+'ORÇ. SINTÉTICO ONERADO'!P8</f>
        <v>22/11/2021</v>
      </c>
    </row>
    <row r="9" spans="1:17" s="12" customFormat="1" ht="15" customHeight="1" x14ac:dyDescent="0.25">
      <c r="B9" s="8" t="s">
        <v>68</v>
      </c>
      <c r="C9" s="9" t="str">
        <f>+'ORÇ. SINTÉTICO ONERADO'!C9</f>
        <v>SUBSTITUIÇÃO DE INSTALAÇÕES ELÉTRICAS E CABEAMENTO ESTRUTURADO - EDIFÍCIO ANEXO</v>
      </c>
      <c r="P9" s="10" t="s">
        <v>51</v>
      </c>
      <c r="Q9" s="11">
        <f>+'ORÇ. SINTÉTICO ONERADO'!P9</f>
        <v>44733</v>
      </c>
    </row>
    <row r="10" spans="1:17" s="12" customFormat="1" ht="15" customHeight="1" x14ac:dyDescent="0.25">
      <c r="B10" s="8" t="s">
        <v>52</v>
      </c>
      <c r="C10" s="9" t="str">
        <f>+'ORÇ. SINTÉTICO ONERADO'!C10</f>
        <v>PRAÇA EDGAR NOGUEIRA, TERESINA, PI</v>
      </c>
    </row>
    <row r="11" spans="1:17" s="12" customFormat="1" ht="8.1" customHeight="1" x14ac:dyDescent="0.25">
      <c r="B11" s="10"/>
    </row>
    <row r="12" spans="1:17" s="12" customFormat="1" ht="12.75" customHeight="1" x14ac:dyDescent="0.25">
      <c r="B12" s="8" t="s">
        <v>53</v>
      </c>
      <c r="C12" s="9" t="s">
        <v>67</v>
      </c>
      <c r="P12" s="10" t="s">
        <v>54</v>
      </c>
      <c r="Q12" s="13" t="s">
        <v>65</v>
      </c>
    </row>
    <row r="13" spans="1:17" s="20" customFormat="1" ht="6.95" customHeight="1" thickBot="1" x14ac:dyDescent="0.3">
      <c r="I13" s="73"/>
      <c r="J13" s="74"/>
      <c r="K13" s="74"/>
      <c r="L13" s="75"/>
      <c r="M13" s="76"/>
      <c r="N13" s="77"/>
      <c r="O13" s="79"/>
    </row>
    <row r="14" spans="1:17" ht="27.95" customHeight="1" x14ac:dyDescent="0.25">
      <c r="A14" s="87"/>
      <c r="B14" s="671" t="s">
        <v>5</v>
      </c>
      <c r="C14" s="669" t="s">
        <v>30</v>
      </c>
      <c r="D14" s="669" t="s">
        <v>0</v>
      </c>
      <c r="E14" s="669" t="s">
        <v>6</v>
      </c>
      <c r="F14" s="669"/>
      <c r="G14" s="669"/>
      <c r="H14" s="669"/>
      <c r="I14" s="669"/>
      <c r="J14" s="669"/>
      <c r="K14" s="669"/>
      <c r="L14" s="669"/>
      <c r="M14" s="669"/>
      <c r="N14" s="669" t="s">
        <v>3</v>
      </c>
      <c r="O14" s="677" t="s">
        <v>402</v>
      </c>
      <c r="P14" s="675"/>
      <c r="Q14" s="673" t="s">
        <v>4</v>
      </c>
    </row>
    <row r="15" spans="1:17" ht="27.95" customHeight="1" thickBot="1" x14ac:dyDescent="0.3">
      <c r="A15" s="87"/>
      <c r="B15" s="672"/>
      <c r="C15" s="670"/>
      <c r="D15" s="670"/>
      <c r="E15" s="670"/>
      <c r="F15" s="670"/>
      <c r="G15" s="670"/>
      <c r="H15" s="670"/>
      <c r="I15" s="670"/>
      <c r="J15" s="670"/>
      <c r="K15" s="670"/>
      <c r="L15" s="670"/>
      <c r="M15" s="670"/>
      <c r="N15" s="670"/>
      <c r="O15" s="676"/>
      <c r="P15" s="676"/>
      <c r="Q15" s="674"/>
    </row>
    <row r="16" spans="1:17" s="20" customFormat="1" ht="30" customHeight="1" x14ac:dyDescent="0.25">
      <c r="A16" s="88"/>
      <c r="B16" s="24">
        <v>1</v>
      </c>
      <c r="C16" s="25"/>
      <c r="D16" s="26"/>
      <c r="E16" s="27"/>
      <c r="F16" s="28" t="s">
        <v>111</v>
      </c>
      <c r="G16" s="28"/>
      <c r="H16" s="28"/>
      <c r="I16" s="28"/>
      <c r="J16" s="28"/>
      <c r="K16" s="28"/>
      <c r="L16" s="28"/>
      <c r="M16" s="29"/>
      <c r="N16" s="30"/>
      <c r="O16" s="31"/>
      <c r="P16" s="31"/>
      <c r="Q16" s="32">
        <f>+SUM(P16:P16)</f>
        <v>0</v>
      </c>
    </row>
    <row r="17" spans="1:17" s="20" customFormat="1" ht="30" customHeight="1" x14ac:dyDescent="0.25">
      <c r="A17" s="89"/>
      <c r="B17" s="39" t="s">
        <v>17</v>
      </c>
      <c r="C17" s="40" t="s">
        <v>31</v>
      </c>
      <c r="D17" s="34">
        <v>101404</v>
      </c>
      <c r="E17" s="35"/>
      <c r="F17" s="36"/>
      <c r="G17" s="36"/>
      <c r="H17" s="662" t="s">
        <v>723</v>
      </c>
      <c r="I17" s="662"/>
      <c r="J17" s="662"/>
      <c r="K17" s="662"/>
      <c r="L17" s="662"/>
      <c r="M17" s="668"/>
      <c r="N17" s="37" t="s">
        <v>109</v>
      </c>
      <c r="O17" s="38">
        <v>5</v>
      </c>
      <c r="P17" s="31"/>
      <c r="Q17" s="32">
        <f t="shared" ref="Q17:Q48" si="0">+SUM(O17:P17)</f>
        <v>5</v>
      </c>
    </row>
    <row r="18" spans="1:17" s="20" customFormat="1" ht="30" customHeight="1" x14ac:dyDescent="0.25">
      <c r="A18" s="89"/>
      <c r="B18" s="39" t="s">
        <v>113</v>
      </c>
      <c r="C18" s="40" t="s">
        <v>31</v>
      </c>
      <c r="D18" s="34">
        <v>93572</v>
      </c>
      <c r="E18" s="35"/>
      <c r="F18" s="36"/>
      <c r="G18" s="36"/>
      <c r="H18" s="662" t="s">
        <v>112</v>
      </c>
      <c r="I18" s="662"/>
      <c r="J18" s="662"/>
      <c r="K18" s="662"/>
      <c r="L18" s="662"/>
      <c r="M18" s="668"/>
      <c r="N18" s="37" t="s">
        <v>109</v>
      </c>
      <c r="O18" s="38">
        <v>5</v>
      </c>
      <c r="P18" s="31"/>
      <c r="Q18" s="32">
        <f t="shared" si="0"/>
        <v>5</v>
      </c>
    </row>
    <row r="19" spans="1:17" s="20" customFormat="1" ht="30" customHeight="1" x14ac:dyDescent="0.25">
      <c r="A19" s="89"/>
      <c r="B19" s="39" t="s">
        <v>291</v>
      </c>
      <c r="C19" s="40" t="s">
        <v>209</v>
      </c>
      <c r="D19" s="34" t="s">
        <v>725</v>
      </c>
      <c r="E19" s="35"/>
      <c r="F19" s="36"/>
      <c r="G19" s="36"/>
      <c r="H19" s="662" t="s">
        <v>724</v>
      </c>
      <c r="I19" s="662"/>
      <c r="J19" s="662"/>
      <c r="K19" s="662"/>
      <c r="L19" s="662"/>
      <c r="M19" s="668"/>
      <c r="N19" s="37" t="s">
        <v>109</v>
      </c>
      <c r="O19" s="38">
        <v>5</v>
      </c>
      <c r="P19" s="31"/>
      <c r="Q19" s="32">
        <f t="shared" si="0"/>
        <v>5</v>
      </c>
    </row>
    <row r="20" spans="1:17" s="20" customFormat="1" ht="30" customHeight="1" x14ac:dyDescent="0.25">
      <c r="A20" s="88"/>
      <c r="B20" s="33">
        <v>0</v>
      </c>
      <c r="C20" s="41"/>
      <c r="D20" s="45"/>
      <c r="E20" s="27"/>
      <c r="F20" s="28"/>
      <c r="G20" s="43"/>
      <c r="H20" s="28"/>
      <c r="I20" s="28"/>
      <c r="J20" s="28"/>
      <c r="K20" s="28"/>
      <c r="L20" s="43"/>
      <c r="M20" s="29"/>
      <c r="N20" s="30"/>
      <c r="O20" s="31"/>
      <c r="P20" s="31"/>
      <c r="Q20" s="32">
        <f t="shared" si="0"/>
        <v>0</v>
      </c>
    </row>
    <row r="21" spans="1:17" s="20" customFormat="1" ht="30" customHeight="1" x14ac:dyDescent="0.25">
      <c r="A21" s="88"/>
      <c r="B21" s="24">
        <v>2</v>
      </c>
      <c r="C21" s="25"/>
      <c r="D21" s="26"/>
      <c r="E21" s="27"/>
      <c r="F21" s="28" t="s">
        <v>107</v>
      </c>
      <c r="G21" s="28"/>
      <c r="H21" s="28"/>
      <c r="I21" s="28"/>
      <c r="J21" s="28"/>
      <c r="K21" s="28"/>
      <c r="L21" s="28"/>
      <c r="M21" s="29"/>
      <c r="N21" s="30"/>
      <c r="O21" s="31"/>
      <c r="P21" s="31"/>
      <c r="Q21" s="32">
        <f t="shared" si="0"/>
        <v>0</v>
      </c>
    </row>
    <row r="22" spans="1:17" s="20" customFormat="1" ht="30" customHeight="1" x14ac:dyDescent="0.25">
      <c r="A22" s="89"/>
      <c r="B22" s="39" t="s">
        <v>18</v>
      </c>
      <c r="C22" s="40" t="s">
        <v>209</v>
      </c>
      <c r="D22" s="34" t="s">
        <v>256</v>
      </c>
      <c r="E22" s="35"/>
      <c r="F22" s="36"/>
      <c r="G22" s="36"/>
      <c r="H22" s="662" t="s">
        <v>721</v>
      </c>
      <c r="I22" s="662"/>
      <c r="J22" s="662"/>
      <c r="K22" s="662"/>
      <c r="L22" s="662"/>
      <c r="M22" s="668"/>
      <c r="N22" s="37" t="s">
        <v>109</v>
      </c>
      <c r="O22" s="38">
        <v>5</v>
      </c>
      <c r="P22" s="31"/>
      <c r="Q22" s="32">
        <f t="shared" si="0"/>
        <v>5</v>
      </c>
    </row>
    <row r="23" spans="1:17" s="20" customFormat="1" ht="30" customHeight="1" x14ac:dyDescent="0.25">
      <c r="A23" s="89"/>
      <c r="B23" s="39" t="s">
        <v>19</v>
      </c>
      <c r="C23" s="40" t="s">
        <v>209</v>
      </c>
      <c r="D23" s="34" t="s">
        <v>257</v>
      </c>
      <c r="E23" s="35"/>
      <c r="F23" s="36"/>
      <c r="G23" s="36"/>
      <c r="H23" s="662" t="s">
        <v>722</v>
      </c>
      <c r="I23" s="662"/>
      <c r="J23" s="662"/>
      <c r="K23" s="662"/>
      <c r="L23" s="662"/>
      <c r="M23" s="668"/>
      <c r="N23" s="37" t="s">
        <v>109</v>
      </c>
      <c r="O23" s="38">
        <v>5</v>
      </c>
      <c r="P23" s="31"/>
      <c r="Q23" s="32">
        <f t="shared" si="0"/>
        <v>5</v>
      </c>
    </row>
    <row r="24" spans="1:17" s="20" customFormat="1" ht="30" customHeight="1" x14ac:dyDescent="0.25">
      <c r="A24" s="89"/>
      <c r="B24" s="39" t="s">
        <v>105</v>
      </c>
      <c r="C24" s="40" t="s">
        <v>209</v>
      </c>
      <c r="D24" s="34" t="s">
        <v>46</v>
      </c>
      <c r="E24" s="35"/>
      <c r="F24" s="36"/>
      <c r="G24" s="36"/>
      <c r="H24" s="662" t="s">
        <v>125</v>
      </c>
      <c r="I24" s="662"/>
      <c r="J24" s="662"/>
      <c r="K24" s="662"/>
      <c r="L24" s="662"/>
      <c r="M24" s="668"/>
      <c r="N24" s="37" t="s">
        <v>126</v>
      </c>
      <c r="O24" s="38">
        <f>8*3*5</f>
        <v>120</v>
      </c>
      <c r="P24" s="31"/>
      <c r="Q24" s="32">
        <f t="shared" si="0"/>
        <v>120</v>
      </c>
    </row>
    <row r="25" spans="1:17" s="20" customFormat="1" ht="30" customHeight="1" x14ac:dyDescent="0.25">
      <c r="A25" s="89"/>
      <c r="B25" s="39" t="s">
        <v>114</v>
      </c>
      <c r="C25" s="40" t="s">
        <v>31</v>
      </c>
      <c r="D25" s="34">
        <v>97065</v>
      </c>
      <c r="E25" s="35"/>
      <c r="F25" s="36"/>
      <c r="G25" s="36"/>
      <c r="H25" s="662" t="s">
        <v>108</v>
      </c>
      <c r="I25" s="662"/>
      <c r="J25" s="662"/>
      <c r="K25" s="662"/>
      <c r="L25" s="662"/>
      <c r="M25" s="668"/>
      <c r="N25" s="37" t="s">
        <v>33</v>
      </c>
      <c r="O25" s="38">
        <f>+O24*3*5</f>
        <v>1800</v>
      </c>
      <c r="P25" s="31"/>
      <c r="Q25" s="32">
        <f t="shared" si="0"/>
        <v>1800</v>
      </c>
    </row>
    <row r="26" spans="1:17" s="20" customFormat="1" ht="30" customHeight="1" x14ac:dyDescent="0.25">
      <c r="A26" s="89"/>
      <c r="B26" s="39" t="s">
        <v>115</v>
      </c>
      <c r="C26" s="40" t="s">
        <v>209</v>
      </c>
      <c r="D26" s="34" t="s">
        <v>110</v>
      </c>
      <c r="E26" s="35"/>
      <c r="F26" s="36"/>
      <c r="G26" s="36"/>
      <c r="H26" s="662" t="s">
        <v>726</v>
      </c>
      <c r="I26" s="662"/>
      <c r="J26" s="662"/>
      <c r="K26" s="662"/>
      <c r="L26" s="662"/>
      <c r="M26" s="668"/>
      <c r="N26" s="37" t="s">
        <v>29</v>
      </c>
      <c r="O26" s="38">
        <v>1.5</v>
      </c>
      <c r="P26" s="31"/>
      <c r="Q26" s="32">
        <f t="shared" si="0"/>
        <v>1.5</v>
      </c>
    </row>
    <row r="27" spans="1:17" s="20" customFormat="1" ht="30" customHeight="1" x14ac:dyDescent="0.25">
      <c r="A27" s="88"/>
      <c r="B27" s="33">
        <v>0</v>
      </c>
      <c r="C27" s="41"/>
      <c r="D27" s="45"/>
      <c r="E27" s="27"/>
      <c r="F27" s="28"/>
      <c r="G27" s="43"/>
      <c r="H27" s="28"/>
      <c r="I27" s="28"/>
      <c r="J27" s="28"/>
      <c r="K27" s="28"/>
      <c r="L27" s="43"/>
      <c r="M27" s="29"/>
      <c r="N27" s="30"/>
      <c r="O27" s="31"/>
      <c r="P27" s="31"/>
      <c r="Q27" s="32">
        <f t="shared" si="0"/>
        <v>0</v>
      </c>
    </row>
    <row r="28" spans="1:17" s="20" customFormat="1" ht="30" customHeight="1" x14ac:dyDescent="0.25">
      <c r="A28" s="88"/>
      <c r="B28" s="24">
        <v>3</v>
      </c>
      <c r="C28" s="25"/>
      <c r="D28" s="44"/>
      <c r="E28" s="27"/>
      <c r="F28" s="28" t="s">
        <v>106</v>
      </c>
      <c r="G28" s="28"/>
      <c r="H28" s="28"/>
      <c r="I28" s="28"/>
      <c r="J28" s="28"/>
      <c r="K28" s="28"/>
      <c r="L28" s="28"/>
      <c r="M28" s="29"/>
      <c r="N28" s="30"/>
      <c r="O28" s="31"/>
      <c r="P28" s="31"/>
      <c r="Q28" s="32">
        <f t="shared" si="0"/>
        <v>0</v>
      </c>
    </row>
    <row r="29" spans="1:17" s="20" customFormat="1" ht="30" customHeight="1" x14ac:dyDescent="0.25">
      <c r="A29" s="89"/>
      <c r="B29" s="39" t="s">
        <v>37</v>
      </c>
      <c r="C29" s="46" t="s">
        <v>212</v>
      </c>
      <c r="D29" s="34" t="s">
        <v>720</v>
      </c>
      <c r="E29" s="35"/>
      <c r="F29" s="36"/>
      <c r="G29" s="36"/>
      <c r="H29" s="663" t="s">
        <v>719</v>
      </c>
      <c r="I29" s="663"/>
      <c r="J29" s="663"/>
      <c r="K29" s="663"/>
      <c r="L29" s="663"/>
      <c r="M29" s="664"/>
      <c r="N29" s="37" t="s">
        <v>29</v>
      </c>
      <c r="O29" s="31">
        <f>+O33</f>
        <v>2480.1999999999998</v>
      </c>
      <c r="P29" s="31"/>
      <c r="Q29" s="32">
        <f t="shared" si="0"/>
        <v>2480.1999999999998</v>
      </c>
    </row>
    <row r="30" spans="1:17" s="20" customFormat="1" ht="30" customHeight="1" x14ac:dyDescent="0.25">
      <c r="A30" s="89"/>
      <c r="B30" s="39" t="s">
        <v>244</v>
      </c>
      <c r="C30" s="46" t="s">
        <v>212</v>
      </c>
      <c r="D30" s="34">
        <v>210500</v>
      </c>
      <c r="E30" s="35"/>
      <c r="F30" s="36"/>
      <c r="G30" s="36"/>
      <c r="H30" s="663" t="s">
        <v>397</v>
      </c>
      <c r="I30" s="663"/>
      <c r="J30" s="663"/>
      <c r="K30" s="663"/>
      <c r="L30" s="663"/>
      <c r="M30" s="664"/>
      <c r="N30" s="37" t="s">
        <v>36</v>
      </c>
      <c r="O30" s="31">
        <f>5*5</f>
        <v>25</v>
      </c>
      <c r="P30" s="31"/>
      <c r="Q30" s="32">
        <f t="shared" si="0"/>
        <v>25</v>
      </c>
    </row>
    <row r="31" spans="1:17" s="20" customFormat="1" ht="30" customHeight="1" x14ac:dyDescent="0.25">
      <c r="A31" s="88"/>
      <c r="B31" s="33">
        <v>0</v>
      </c>
      <c r="C31" s="41"/>
      <c r="D31" s="45"/>
      <c r="E31" s="27"/>
      <c r="F31" s="28"/>
      <c r="G31" s="43"/>
      <c r="H31" s="28"/>
      <c r="I31" s="28"/>
      <c r="J31" s="28"/>
      <c r="K31" s="28"/>
      <c r="L31" s="43"/>
      <c r="M31" s="29"/>
      <c r="N31" s="30"/>
      <c r="O31" s="325"/>
      <c r="P31" s="31"/>
      <c r="Q31" s="32">
        <f t="shared" si="0"/>
        <v>0</v>
      </c>
    </row>
    <row r="32" spans="1:17" s="20" customFormat="1" ht="30" customHeight="1" x14ac:dyDescent="0.25">
      <c r="A32" s="88"/>
      <c r="B32" s="24">
        <v>4</v>
      </c>
      <c r="C32" s="25"/>
      <c r="D32" s="44"/>
      <c r="E32" s="27"/>
      <c r="F32" s="28" t="s">
        <v>224</v>
      </c>
      <c r="G32" s="28"/>
      <c r="H32" s="28"/>
      <c r="I32" s="28"/>
      <c r="J32" s="28"/>
      <c r="K32" s="28"/>
      <c r="L32" s="28"/>
      <c r="M32" s="29"/>
      <c r="N32" s="30"/>
      <c r="O32" s="31"/>
      <c r="P32" s="31"/>
      <c r="Q32" s="32">
        <f t="shared" si="0"/>
        <v>0</v>
      </c>
    </row>
    <row r="33" spans="1:17" s="20" customFormat="1" ht="30" customHeight="1" x14ac:dyDescent="0.25">
      <c r="A33" s="89"/>
      <c r="B33" s="39" t="s">
        <v>270</v>
      </c>
      <c r="C33" s="46" t="s">
        <v>31</v>
      </c>
      <c r="D33" s="34" t="s">
        <v>718</v>
      </c>
      <c r="E33" s="35"/>
      <c r="F33" s="36"/>
      <c r="G33" s="36"/>
      <c r="H33" s="663" t="s">
        <v>569</v>
      </c>
      <c r="I33" s="663"/>
      <c r="J33" s="663"/>
      <c r="K33" s="663"/>
      <c r="L33" s="663"/>
      <c r="M33" s="664"/>
      <c r="N33" s="37" t="s">
        <v>29</v>
      </c>
      <c r="O33" s="31">
        <f>4960.4*0.5</f>
        <v>2480.1999999999998</v>
      </c>
      <c r="P33" s="31"/>
      <c r="Q33" s="32">
        <f t="shared" si="0"/>
        <v>2480.1999999999998</v>
      </c>
    </row>
    <row r="34" spans="1:17" s="20" customFormat="1" ht="30" customHeight="1" x14ac:dyDescent="0.25">
      <c r="A34" s="88"/>
      <c r="B34" s="33"/>
      <c r="C34" s="41"/>
      <c r="D34" s="42"/>
      <c r="E34" s="27"/>
      <c r="F34" s="28"/>
      <c r="G34" s="43"/>
      <c r="H34" s="28"/>
      <c r="I34" s="28"/>
      <c r="J34" s="28"/>
      <c r="K34" s="28"/>
      <c r="L34" s="43"/>
      <c r="M34" s="29"/>
      <c r="N34" s="30"/>
      <c r="O34" s="31"/>
      <c r="P34" s="31"/>
      <c r="Q34" s="32">
        <f t="shared" si="0"/>
        <v>0</v>
      </c>
    </row>
    <row r="35" spans="1:17" s="20" customFormat="1" ht="30" customHeight="1" x14ac:dyDescent="0.25">
      <c r="A35" s="88"/>
      <c r="B35" s="24">
        <v>5</v>
      </c>
      <c r="C35" s="25"/>
      <c r="D35" s="44"/>
      <c r="E35" s="27"/>
      <c r="F35" s="28" t="s">
        <v>207</v>
      </c>
      <c r="G35" s="28"/>
      <c r="H35" s="28"/>
      <c r="I35" s="28"/>
      <c r="J35" s="28"/>
      <c r="K35" s="28"/>
      <c r="L35" s="28"/>
      <c r="M35" s="29"/>
      <c r="N35" s="30"/>
      <c r="O35" s="31"/>
      <c r="P35" s="31"/>
      <c r="Q35" s="32">
        <f t="shared" si="0"/>
        <v>0</v>
      </c>
    </row>
    <row r="36" spans="1:17" s="20" customFormat="1" ht="30" customHeight="1" x14ac:dyDescent="0.25">
      <c r="A36" s="89"/>
      <c r="B36" s="33" t="s">
        <v>570</v>
      </c>
      <c r="C36" s="46"/>
      <c r="D36" s="34"/>
      <c r="E36" s="35"/>
      <c r="F36" s="36"/>
      <c r="G36" s="28" t="s">
        <v>245</v>
      </c>
      <c r="H36" s="81"/>
      <c r="I36" s="82"/>
      <c r="J36" s="82"/>
      <c r="K36" s="82"/>
      <c r="L36" s="82"/>
      <c r="M36" s="83"/>
      <c r="N36" s="37"/>
      <c r="O36" s="31"/>
      <c r="P36" s="31"/>
      <c r="Q36" s="32">
        <f t="shared" si="0"/>
        <v>0</v>
      </c>
    </row>
    <row r="37" spans="1:17" s="324" customFormat="1" ht="30" customHeight="1" x14ac:dyDescent="0.25">
      <c r="A37" s="323"/>
      <c r="B37" s="39" t="s">
        <v>571</v>
      </c>
      <c r="C37" s="46" t="s">
        <v>31</v>
      </c>
      <c r="D37" s="34">
        <v>93012</v>
      </c>
      <c r="E37" s="35"/>
      <c r="F37" s="36"/>
      <c r="G37" s="36"/>
      <c r="H37" s="662" t="s">
        <v>508</v>
      </c>
      <c r="I37" s="662"/>
      <c r="J37" s="662"/>
      <c r="K37" s="662"/>
      <c r="L37" s="662"/>
      <c r="M37" s="668"/>
      <c r="N37" s="37" t="s">
        <v>35</v>
      </c>
      <c r="O37" s="31">
        <v>6</v>
      </c>
      <c r="P37" s="31"/>
      <c r="Q37" s="32">
        <f t="shared" si="0"/>
        <v>6</v>
      </c>
    </row>
    <row r="38" spans="1:17" s="324" customFormat="1" ht="30" customHeight="1" x14ac:dyDescent="0.25">
      <c r="A38" s="323"/>
      <c r="B38" s="39" t="s">
        <v>572</v>
      </c>
      <c r="C38" s="46" t="s">
        <v>31</v>
      </c>
      <c r="D38" s="34">
        <v>95745</v>
      </c>
      <c r="E38" s="35"/>
      <c r="F38" s="36"/>
      <c r="G38" s="36"/>
      <c r="H38" s="662" t="s">
        <v>500</v>
      </c>
      <c r="I38" s="662"/>
      <c r="J38" s="662"/>
      <c r="K38" s="662"/>
      <c r="L38" s="662"/>
      <c r="M38" s="668"/>
      <c r="N38" s="37" t="s">
        <v>35</v>
      </c>
      <c r="O38" s="31">
        <v>5743.6</v>
      </c>
      <c r="P38" s="31"/>
      <c r="Q38" s="32">
        <f t="shared" si="0"/>
        <v>5743.6</v>
      </c>
    </row>
    <row r="39" spans="1:17" s="324" customFormat="1" ht="30" customHeight="1" x14ac:dyDescent="0.25">
      <c r="A39" s="323"/>
      <c r="B39" s="39" t="s">
        <v>573</v>
      </c>
      <c r="C39" s="46" t="s">
        <v>31</v>
      </c>
      <c r="D39" s="34">
        <v>95746</v>
      </c>
      <c r="E39" s="35"/>
      <c r="F39" s="36"/>
      <c r="G39" s="36"/>
      <c r="H39" s="662" t="s">
        <v>499</v>
      </c>
      <c r="I39" s="662"/>
      <c r="J39" s="662"/>
      <c r="K39" s="662"/>
      <c r="L39" s="662"/>
      <c r="M39" s="668"/>
      <c r="N39" s="37" t="s">
        <v>35</v>
      </c>
      <c r="O39" s="31">
        <v>63</v>
      </c>
      <c r="P39" s="31"/>
      <c r="Q39" s="32">
        <f t="shared" si="0"/>
        <v>63</v>
      </c>
    </row>
    <row r="40" spans="1:17" s="324" customFormat="1" ht="30" customHeight="1" x14ac:dyDescent="0.25">
      <c r="A40" s="323"/>
      <c r="B40" s="39" t="s">
        <v>574</v>
      </c>
      <c r="C40" s="46" t="s">
        <v>31</v>
      </c>
      <c r="D40" s="34">
        <v>95748</v>
      </c>
      <c r="E40" s="35"/>
      <c r="F40" s="36"/>
      <c r="G40" s="36"/>
      <c r="H40" s="662" t="s">
        <v>501</v>
      </c>
      <c r="I40" s="662"/>
      <c r="J40" s="662"/>
      <c r="K40" s="662"/>
      <c r="L40" s="662"/>
      <c r="M40" s="668"/>
      <c r="N40" s="37" t="s">
        <v>35</v>
      </c>
      <c r="O40" s="31">
        <v>6.1</v>
      </c>
      <c r="P40" s="31"/>
      <c r="Q40" s="32">
        <f t="shared" si="0"/>
        <v>6.1</v>
      </c>
    </row>
    <row r="41" spans="1:17" s="324" customFormat="1" ht="30" customHeight="1" x14ac:dyDescent="0.25">
      <c r="A41" s="323"/>
      <c r="B41" s="39" t="s">
        <v>575</v>
      </c>
      <c r="C41" s="46" t="s">
        <v>212</v>
      </c>
      <c r="D41" s="34" t="s">
        <v>503</v>
      </c>
      <c r="E41" s="35"/>
      <c r="F41" s="36"/>
      <c r="G41" s="36"/>
      <c r="H41" s="662" t="s">
        <v>502</v>
      </c>
      <c r="I41" s="662"/>
      <c r="J41" s="662"/>
      <c r="K41" s="662"/>
      <c r="L41" s="662"/>
      <c r="M41" s="668"/>
      <c r="N41" s="37" t="s">
        <v>35</v>
      </c>
      <c r="O41" s="31">
        <f>14.9+0.3</f>
        <v>15.200000000000001</v>
      </c>
      <c r="P41" s="31"/>
      <c r="Q41" s="32">
        <f t="shared" si="0"/>
        <v>15.200000000000001</v>
      </c>
    </row>
    <row r="42" spans="1:17" s="324" customFormat="1" ht="30" customHeight="1" x14ac:dyDescent="0.25">
      <c r="A42" s="323"/>
      <c r="B42" s="39" t="s">
        <v>576</v>
      </c>
      <c r="C42" s="46" t="s">
        <v>209</v>
      </c>
      <c r="D42" s="34" t="s">
        <v>505</v>
      </c>
      <c r="E42" s="35"/>
      <c r="F42" s="36"/>
      <c r="G42" s="36"/>
      <c r="H42" s="662" t="s">
        <v>504</v>
      </c>
      <c r="I42" s="662"/>
      <c r="J42" s="662"/>
      <c r="K42" s="662"/>
      <c r="L42" s="662"/>
      <c r="M42" s="668"/>
      <c r="N42" s="37" t="s">
        <v>35</v>
      </c>
      <c r="O42" s="31">
        <v>63.1</v>
      </c>
      <c r="P42" s="31"/>
      <c r="Q42" s="32">
        <f t="shared" si="0"/>
        <v>63.1</v>
      </c>
    </row>
    <row r="43" spans="1:17" s="324" customFormat="1" ht="30" customHeight="1" x14ac:dyDescent="0.25">
      <c r="A43" s="323"/>
      <c r="B43" s="39" t="s">
        <v>577</v>
      </c>
      <c r="C43" s="46" t="s">
        <v>212</v>
      </c>
      <c r="D43" s="34" t="s">
        <v>486</v>
      </c>
      <c r="E43" s="35"/>
      <c r="F43" s="36"/>
      <c r="G43" s="36"/>
      <c r="H43" s="662" t="s">
        <v>485</v>
      </c>
      <c r="I43" s="662"/>
      <c r="J43" s="662"/>
      <c r="K43" s="662"/>
      <c r="L43" s="662"/>
      <c r="M43" s="668"/>
      <c r="N43" s="37" t="s">
        <v>35</v>
      </c>
      <c r="O43" s="31">
        <v>63</v>
      </c>
      <c r="P43" s="31"/>
      <c r="Q43" s="32">
        <f t="shared" si="0"/>
        <v>63</v>
      </c>
    </row>
    <row r="44" spans="1:17" s="324" customFormat="1" ht="30" customHeight="1" x14ac:dyDescent="0.25">
      <c r="A44" s="323"/>
      <c r="B44" s="39" t="s">
        <v>578</v>
      </c>
      <c r="C44" s="46" t="s">
        <v>212</v>
      </c>
      <c r="D44" s="34" t="s">
        <v>488</v>
      </c>
      <c r="E44" s="35"/>
      <c r="F44" s="36"/>
      <c r="G44" s="36"/>
      <c r="H44" s="662" t="s">
        <v>487</v>
      </c>
      <c r="I44" s="662"/>
      <c r="J44" s="662"/>
      <c r="K44" s="662"/>
      <c r="L44" s="662"/>
      <c r="M44" s="668"/>
      <c r="N44" s="37" t="s">
        <v>35</v>
      </c>
      <c r="O44" s="31">
        <v>8.1999999999999993</v>
      </c>
      <c r="P44" s="31"/>
      <c r="Q44" s="32">
        <f t="shared" si="0"/>
        <v>8.1999999999999993</v>
      </c>
    </row>
    <row r="45" spans="1:17" s="20" customFormat="1" ht="30" customHeight="1" x14ac:dyDescent="0.25">
      <c r="A45" s="89"/>
      <c r="B45" s="39" t="s">
        <v>579</v>
      </c>
      <c r="C45" s="46" t="s">
        <v>212</v>
      </c>
      <c r="D45" s="34" t="s">
        <v>273</v>
      </c>
      <c r="E45" s="35"/>
      <c r="F45" s="36"/>
      <c r="G45" s="36"/>
      <c r="H45" s="662" t="s">
        <v>272</v>
      </c>
      <c r="I45" s="662"/>
      <c r="J45" s="662"/>
      <c r="K45" s="662"/>
      <c r="L45" s="662"/>
      <c r="M45" s="668"/>
      <c r="N45" s="37" t="s">
        <v>35</v>
      </c>
      <c r="O45" s="31">
        <v>761.8</v>
      </c>
      <c r="P45" s="31"/>
      <c r="Q45" s="32">
        <f t="shared" si="0"/>
        <v>761.8</v>
      </c>
    </row>
    <row r="46" spans="1:17" s="20" customFormat="1" ht="30" customHeight="1" x14ac:dyDescent="0.25">
      <c r="A46" s="89"/>
      <c r="B46" s="39" t="s">
        <v>580</v>
      </c>
      <c r="C46" s="46" t="s">
        <v>209</v>
      </c>
      <c r="D46" s="34" t="s">
        <v>512</v>
      </c>
      <c r="E46" s="35"/>
      <c r="F46" s="36"/>
      <c r="G46" s="36"/>
      <c r="H46" s="662" t="s">
        <v>511</v>
      </c>
      <c r="I46" s="662"/>
      <c r="J46" s="662"/>
      <c r="K46" s="662"/>
      <c r="L46" s="662"/>
      <c r="M46" s="668"/>
      <c r="N46" s="37" t="s">
        <v>35</v>
      </c>
      <c r="O46" s="31">
        <v>229.4</v>
      </c>
      <c r="P46" s="31"/>
      <c r="Q46" s="32">
        <f t="shared" si="0"/>
        <v>229.4</v>
      </c>
    </row>
    <row r="47" spans="1:17" s="20" customFormat="1" ht="30" customHeight="1" x14ac:dyDescent="0.25">
      <c r="A47" s="89"/>
      <c r="B47" s="33" t="s">
        <v>581</v>
      </c>
      <c r="C47" s="46"/>
      <c r="D47" s="34"/>
      <c r="E47" s="35"/>
      <c r="F47" s="36"/>
      <c r="G47" s="28" t="s">
        <v>247</v>
      </c>
      <c r="H47" s="81"/>
      <c r="I47" s="82"/>
      <c r="J47" s="82"/>
      <c r="K47" s="82"/>
      <c r="L47" s="82"/>
      <c r="M47" s="83"/>
      <c r="N47" s="37"/>
      <c r="O47" s="31"/>
      <c r="P47" s="31"/>
      <c r="Q47" s="32">
        <f t="shared" si="0"/>
        <v>0</v>
      </c>
    </row>
    <row r="48" spans="1:17" s="20" customFormat="1" ht="30" customHeight="1" x14ac:dyDescent="0.25">
      <c r="A48" s="89"/>
      <c r="B48" s="39" t="s">
        <v>582</v>
      </c>
      <c r="C48" s="46" t="s">
        <v>31</v>
      </c>
      <c r="D48" s="34">
        <v>91926</v>
      </c>
      <c r="E48" s="35"/>
      <c r="F48" s="36"/>
      <c r="G48" s="36"/>
      <c r="H48" s="662" t="s">
        <v>403</v>
      </c>
      <c r="I48" s="663"/>
      <c r="J48" s="663"/>
      <c r="K48" s="663"/>
      <c r="L48" s="663"/>
      <c r="M48" s="664"/>
      <c r="N48" s="37" t="s">
        <v>35</v>
      </c>
      <c r="O48" s="31">
        <v>37092.1</v>
      </c>
      <c r="P48" s="31"/>
      <c r="Q48" s="32">
        <f t="shared" si="0"/>
        <v>37092.1</v>
      </c>
    </row>
    <row r="49" spans="1:17" s="20" customFormat="1" ht="30" customHeight="1" x14ac:dyDescent="0.25">
      <c r="A49" s="89"/>
      <c r="B49" s="39" t="s">
        <v>583</v>
      </c>
      <c r="C49" s="46" t="s">
        <v>31</v>
      </c>
      <c r="D49" s="34">
        <v>91928</v>
      </c>
      <c r="E49" s="35"/>
      <c r="F49" s="36"/>
      <c r="G49" s="36"/>
      <c r="H49" s="662" t="s">
        <v>404</v>
      </c>
      <c r="I49" s="663"/>
      <c r="J49" s="663"/>
      <c r="K49" s="663"/>
      <c r="L49" s="663"/>
      <c r="M49" s="664"/>
      <c r="N49" s="37" t="s">
        <v>35</v>
      </c>
      <c r="O49" s="31">
        <v>1816.6</v>
      </c>
      <c r="P49" s="31"/>
      <c r="Q49" s="32">
        <f t="shared" ref="Q49:Q80" si="1">+SUM(O49:P49)</f>
        <v>1816.6</v>
      </c>
    </row>
    <row r="50" spans="1:17" s="20" customFormat="1" ht="30" customHeight="1" x14ac:dyDescent="0.25">
      <c r="A50" s="89"/>
      <c r="B50" s="39" t="s">
        <v>584</v>
      </c>
      <c r="C50" s="46" t="s">
        <v>31</v>
      </c>
      <c r="D50" s="34">
        <v>91929</v>
      </c>
      <c r="E50" s="35"/>
      <c r="F50" s="36"/>
      <c r="G50" s="36"/>
      <c r="H50" s="662" t="s">
        <v>407</v>
      </c>
      <c r="I50" s="663"/>
      <c r="J50" s="663"/>
      <c r="K50" s="663"/>
      <c r="L50" s="663"/>
      <c r="M50" s="664"/>
      <c r="N50" s="37" t="s">
        <v>35</v>
      </c>
      <c r="O50" s="31">
        <v>986.3</v>
      </c>
      <c r="P50" s="31"/>
      <c r="Q50" s="32">
        <f t="shared" si="1"/>
        <v>986.3</v>
      </c>
    </row>
    <row r="51" spans="1:17" s="20" customFormat="1" ht="30" customHeight="1" x14ac:dyDescent="0.25">
      <c r="A51" s="89"/>
      <c r="B51" s="39" t="s">
        <v>585</v>
      </c>
      <c r="C51" s="46" t="s">
        <v>31</v>
      </c>
      <c r="D51" s="34">
        <v>91931</v>
      </c>
      <c r="E51" s="35"/>
      <c r="F51" s="36"/>
      <c r="G51" s="36"/>
      <c r="H51" s="662" t="s">
        <v>405</v>
      </c>
      <c r="I51" s="663"/>
      <c r="J51" s="663"/>
      <c r="K51" s="663"/>
      <c r="L51" s="663"/>
      <c r="M51" s="664"/>
      <c r="N51" s="37" t="s">
        <v>35</v>
      </c>
      <c r="O51" s="31">
        <v>739.4</v>
      </c>
      <c r="P51" s="31"/>
      <c r="Q51" s="32">
        <f t="shared" si="1"/>
        <v>739.4</v>
      </c>
    </row>
    <row r="52" spans="1:17" s="20" customFormat="1" ht="30" customHeight="1" x14ac:dyDescent="0.25">
      <c r="A52" s="89"/>
      <c r="B52" s="39" t="s">
        <v>586</v>
      </c>
      <c r="C52" s="46" t="s">
        <v>31</v>
      </c>
      <c r="D52" s="34">
        <v>91933</v>
      </c>
      <c r="E52" s="35"/>
      <c r="F52" s="36"/>
      <c r="G52" s="36"/>
      <c r="H52" s="662" t="s">
        <v>410</v>
      </c>
      <c r="I52" s="663"/>
      <c r="J52" s="663"/>
      <c r="K52" s="663"/>
      <c r="L52" s="663"/>
      <c r="M52" s="664"/>
      <c r="N52" s="37" t="s">
        <v>35</v>
      </c>
      <c r="O52" s="31">
        <v>1246.8</v>
      </c>
      <c r="P52" s="31"/>
      <c r="Q52" s="32">
        <f t="shared" si="1"/>
        <v>1246.8</v>
      </c>
    </row>
    <row r="53" spans="1:17" s="20" customFormat="1" ht="30" customHeight="1" x14ac:dyDescent="0.25">
      <c r="A53" s="89"/>
      <c r="B53" s="39" t="s">
        <v>587</v>
      </c>
      <c r="C53" s="46" t="s">
        <v>31</v>
      </c>
      <c r="D53" s="34">
        <v>91935</v>
      </c>
      <c r="E53" s="35"/>
      <c r="F53" s="36"/>
      <c r="G53" s="36"/>
      <c r="H53" s="662" t="s">
        <v>408</v>
      </c>
      <c r="I53" s="663"/>
      <c r="J53" s="663"/>
      <c r="K53" s="663"/>
      <c r="L53" s="663"/>
      <c r="M53" s="664"/>
      <c r="N53" s="37" t="s">
        <v>35</v>
      </c>
      <c r="O53" s="31">
        <v>761.6</v>
      </c>
      <c r="P53" s="31"/>
      <c r="Q53" s="32">
        <f t="shared" si="1"/>
        <v>761.6</v>
      </c>
    </row>
    <row r="54" spans="1:17" s="20" customFormat="1" ht="30" customHeight="1" x14ac:dyDescent="0.25">
      <c r="A54" s="89"/>
      <c r="B54" s="39" t="s">
        <v>588</v>
      </c>
      <c r="C54" s="46" t="s">
        <v>31</v>
      </c>
      <c r="D54" s="34">
        <v>92992</v>
      </c>
      <c r="E54" s="35"/>
      <c r="F54" s="36"/>
      <c r="G54" s="36"/>
      <c r="H54" s="662" t="s">
        <v>406</v>
      </c>
      <c r="I54" s="663"/>
      <c r="J54" s="663"/>
      <c r="K54" s="663"/>
      <c r="L54" s="663"/>
      <c r="M54" s="664"/>
      <c r="N54" s="37" t="s">
        <v>35</v>
      </c>
      <c r="O54" s="31">
        <v>42.8</v>
      </c>
      <c r="P54" s="31"/>
      <c r="Q54" s="32">
        <f t="shared" si="1"/>
        <v>42.8</v>
      </c>
    </row>
    <row r="55" spans="1:17" s="20" customFormat="1" ht="30" customHeight="1" x14ac:dyDescent="0.25">
      <c r="A55" s="89"/>
      <c r="B55" s="39" t="s">
        <v>589</v>
      </c>
      <c r="C55" s="46" t="s">
        <v>31</v>
      </c>
      <c r="D55" s="34">
        <v>92996</v>
      </c>
      <c r="E55" s="35"/>
      <c r="F55" s="36"/>
      <c r="G55" s="36"/>
      <c r="H55" s="662" t="s">
        <v>409</v>
      </c>
      <c r="I55" s="663"/>
      <c r="J55" s="663"/>
      <c r="K55" s="663"/>
      <c r="L55" s="663"/>
      <c r="M55" s="664"/>
      <c r="N55" s="37" t="s">
        <v>35</v>
      </c>
      <c r="O55" s="31">
        <v>171</v>
      </c>
      <c r="P55" s="31"/>
      <c r="Q55" s="32">
        <f t="shared" si="1"/>
        <v>171</v>
      </c>
    </row>
    <row r="56" spans="1:17" s="20" customFormat="1" ht="30" customHeight="1" x14ac:dyDescent="0.25">
      <c r="A56" s="89"/>
      <c r="B56" s="39" t="s">
        <v>590</v>
      </c>
      <c r="C56" s="46" t="s">
        <v>31</v>
      </c>
      <c r="D56" s="34">
        <v>96974</v>
      </c>
      <c r="E56" s="35"/>
      <c r="F56" s="36"/>
      <c r="G56" s="36"/>
      <c r="H56" s="662" t="s">
        <v>530</v>
      </c>
      <c r="I56" s="663"/>
      <c r="J56" s="663"/>
      <c r="K56" s="663"/>
      <c r="L56" s="663"/>
      <c r="M56" s="664"/>
      <c r="N56" s="37" t="s">
        <v>35</v>
      </c>
      <c r="O56" s="31">
        <v>15</v>
      </c>
      <c r="P56" s="31"/>
      <c r="Q56" s="32">
        <f t="shared" si="1"/>
        <v>15</v>
      </c>
    </row>
    <row r="57" spans="1:17" s="20" customFormat="1" ht="30" customHeight="1" x14ac:dyDescent="0.25">
      <c r="A57" s="89"/>
      <c r="B57" s="33" t="s">
        <v>591</v>
      </c>
      <c r="C57" s="46"/>
      <c r="D57" s="34"/>
      <c r="E57" s="35"/>
      <c r="F57" s="36"/>
      <c r="G57" s="28" t="s">
        <v>208</v>
      </c>
      <c r="H57" s="81"/>
      <c r="I57" s="82"/>
      <c r="J57" s="82"/>
      <c r="K57" s="82"/>
      <c r="L57" s="82"/>
      <c r="M57" s="83"/>
      <c r="N57" s="37"/>
      <c r="O57" s="31"/>
      <c r="P57" s="31"/>
      <c r="Q57" s="32">
        <f t="shared" si="1"/>
        <v>0</v>
      </c>
    </row>
    <row r="58" spans="1:17" s="20" customFormat="1" ht="30" customHeight="1" x14ac:dyDescent="0.25">
      <c r="A58" s="89"/>
      <c r="B58" s="39" t="s">
        <v>592</v>
      </c>
      <c r="C58" s="46" t="s">
        <v>31</v>
      </c>
      <c r="D58" s="34">
        <v>93667</v>
      </c>
      <c r="E58" s="35"/>
      <c r="F58" s="36"/>
      <c r="G58" s="36"/>
      <c r="H58" s="662" t="s">
        <v>411</v>
      </c>
      <c r="I58" s="663"/>
      <c r="J58" s="663"/>
      <c r="K58" s="663"/>
      <c r="L58" s="663"/>
      <c r="M58" s="664"/>
      <c r="N58" s="37" t="s">
        <v>36</v>
      </c>
      <c r="O58" s="31">
        <v>4</v>
      </c>
      <c r="P58" s="31"/>
      <c r="Q58" s="32">
        <f t="shared" si="1"/>
        <v>4</v>
      </c>
    </row>
    <row r="59" spans="1:17" s="20" customFormat="1" ht="30" customHeight="1" x14ac:dyDescent="0.25">
      <c r="A59" s="89"/>
      <c r="B59" s="39" t="s">
        <v>593</v>
      </c>
      <c r="C59" s="46" t="s">
        <v>31</v>
      </c>
      <c r="D59" s="34">
        <v>93668</v>
      </c>
      <c r="E59" s="35"/>
      <c r="F59" s="36"/>
      <c r="G59" s="36"/>
      <c r="H59" s="662" t="s">
        <v>412</v>
      </c>
      <c r="I59" s="663"/>
      <c r="J59" s="663"/>
      <c r="K59" s="663"/>
      <c r="L59" s="663"/>
      <c r="M59" s="664"/>
      <c r="N59" s="37" t="s">
        <v>36</v>
      </c>
      <c r="O59" s="31">
        <v>2</v>
      </c>
      <c r="P59" s="31"/>
      <c r="Q59" s="32">
        <f t="shared" si="1"/>
        <v>2</v>
      </c>
    </row>
    <row r="60" spans="1:17" s="20" customFormat="1" ht="30" customHeight="1" x14ac:dyDescent="0.25">
      <c r="A60" s="89"/>
      <c r="B60" s="39" t="s">
        <v>594</v>
      </c>
      <c r="C60" s="46" t="s">
        <v>31</v>
      </c>
      <c r="D60" s="34">
        <v>93669</v>
      </c>
      <c r="E60" s="35"/>
      <c r="F60" s="36"/>
      <c r="G60" s="36"/>
      <c r="H60" s="662" t="s">
        <v>413</v>
      </c>
      <c r="I60" s="663"/>
      <c r="J60" s="663"/>
      <c r="K60" s="663"/>
      <c r="L60" s="663"/>
      <c r="M60" s="664"/>
      <c r="N60" s="37" t="s">
        <v>36</v>
      </c>
      <c r="O60" s="31">
        <v>2</v>
      </c>
      <c r="P60" s="31"/>
      <c r="Q60" s="32">
        <f t="shared" si="1"/>
        <v>2</v>
      </c>
    </row>
    <row r="61" spans="1:17" s="20" customFormat="1" ht="30" customHeight="1" x14ac:dyDescent="0.25">
      <c r="A61" s="89"/>
      <c r="B61" s="39" t="s">
        <v>595</v>
      </c>
      <c r="C61" s="46" t="s">
        <v>31</v>
      </c>
      <c r="D61" s="34">
        <v>93670</v>
      </c>
      <c r="E61" s="35"/>
      <c r="F61" s="36"/>
      <c r="G61" s="36"/>
      <c r="H61" s="662" t="s">
        <v>414</v>
      </c>
      <c r="I61" s="663"/>
      <c r="J61" s="663"/>
      <c r="K61" s="663"/>
      <c r="L61" s="663"/>
      <c r="M61" s="664"/>
      <c r="N61" s="37" t="s">
        <v>36</v>
      </c>
      <c r="O61" s="31">
        <v>4</v>
      </c>
      <c r="P61" s="31"/>
      <c r="Q61" s="32">
        <f t="shared" si="1"/>
        <v>4</v>
      </c>
    </row>
    <row r="62" spans="1:17" s="20" customFormat="1" ht="30" customHeight="1" x14ac:dyDescent="0.25">
      <c r="A62" s="89"/>
      <c r="B62" s="39" t="s">
        <v>596</v>
      </c>
      <c r="C62" s="46" t="s">
        <v>31</v>
      </c>
      <c r="D62" s="34">
        <v>93671</v>
      </c>
      <c r="E62" s="35"/>
      <c r="F62" s="36"/>
      <c r="G62" s="36"/>
      <c r="H62" s="662" t="s">
        <v>415</v>
      </c>
      <c r="I62" s="663"/>
      <c r="J62" s="663"/>
      <c r="K62" s="663"/>
      <c r="L62" s="663"/>
      <c r="M62" s="664"/>
      <c r="N62" s="37" t="s">
        <v>36</v>
      </c>
      <c r="O62" s="31">
        <v>14</v>
      </c>
      <c r="P62" s="31"/>
      <c r="Q62" s="32">
        <f t="shared" si="1"/>
        <v>14</v>
      </c>
    </row>
    <row r="63" spans="1:17" s="20" customFormat="1" ht="30" customHeight="1" x14ac:dyDescent="0.25">
      <c r="A63" s="89"/>
      <c r="B63" s="39" t="s">
        <v>597</v>
      </c>
      <c r="C63" s="46" t="s">
        <v>31</v>
      </c>
      <c r="D63" s="34">
        <v>93672</v>
      </c>
      <c r="E63" s="35"/>
      <c r="F63" s="36"/>
      <c r="G63" s="36"/>
      <c r="H63" s="662" t="s">
        <v>416</v>
      </c>
      <c r="I63" s="663"/>
      <c r="J63" s="663"/>
      <c r="K63" s="663"/>
      <c r="L63" s="663"/>
      <c r="M63" s="664"/>
      <c r="N63" s="37" t="s">
        <v>36</v>
      </c>
      <c r="O63" s="31">
        <v>6</v>
      </c>
      <c r="P63" s="31"/>
      <c r="Q63" s="32">
        <f t="shared" si="1"/>
        <v>6</v>
      </c>
    </row>
    <row r="64" spans="1:17" s="20" customFormat="1" ht="30" customHeight="1" x14ac:dyDescent="0.25">
      <c r="A64" s="89"/>
      <c r="B64" s="39" t="s">
        <v>598</v>
      </c>
      <c r="C64" s="46" t="s">
        <v>31</v>
      </c>
      <c r="D64" s="34">
        <v>93673</v>
      </c>
      <c r="E64" s="35"/>
      <c r="F64" s="36"/>
      <c r="G64" s="36"/>
      <c r="H64" s="662" t="s">
        <v>417</v>
      </c>
      <c r="I64" s="663"/>
      <c r="J64" s="663"/>
      <c r="K64" s="663"/>
      <c r="L64" s="663"/>
      <c r="M64" s="664"/>
      <c r="N64" s="37" t="s">
        <v>36</v>
      </c>
      <c r="O64" s="31">
        <v>4</v>
      </c>
      <c r="P64" s="31"/>
      <c r="Q64" s="32">
        <f t="shared" si="1"/>
        <v>4</v>
      </c>
    </row>
    <row r="65" spans="1:17" s="20" customFormat="1" ht="30" customHeight="1" x14ac:dyDescent="0.25">
      <c r="A65" s="89"/>
      <c r="B65" s="39" t="s">
        <v>599</v>
      </c>
      <c r="C65" s="46" t="s">
        <v>209</v>
      </c>
      <c r="D65" s="34" t="s">
        <v>288</v>
      </c>
      <c r="E65" s="35"/>
      <c r="F65" s="36"/>
      <c r="G65" s="36"/>
      <c r="H65" s="662" t="s">
        <v>418</v>
      </c>
      <c r="I65" s="663"/>
      <c r="J65" s="663"/>
      <c r="K65" s="663"/>
      <c r="L65" s="663"/>
      <c r="M65" s="664"/>
      <c r="N65" s="37" t="s">
        <v>36</v>
      </c>
      <c r="O65" s="31">
        <v>6</v>
      </c>
      <c r="P65" s="31"/>
      <c r="Q65" s="32">
        <f t="shared" si="1"/>
        <v>6</v>
      </c>
    </row>
    <row r="66" spans="1:17" s="20" customFormat="1" ht="30" customHeight="1" x14ac:dyDescent="0.25">
      <c r="A66" s="89"/>
      <c r="B66" s="39" t="s">
        <v>600</v>
      </c>
      <c r="C66" s="46" t="s">
        <v>212</v>
      </c>
      <c r="D66" s="34" t="s">
        <v>421</v>
      </c>
      <c r="E66" s="35"/>
      <c r="F66" s="36"/>
      <c r="G66" s="36"/>
      <c r="H66" s="662" t="s">
        <v>419</v>
      </c>
      <c r="I66" s="663"/>
      <c r="J66" s="663"/>
      <c r="K66" s="663"/>
      <c r="L66" s="663"/>
      <c r="M66" s="664"/>
      <c r="N66" s="37" t="s">
        <v>36</v>
      </c>
      <c r="O66" s="31">
        <v>2</v>
      </c>
      <c r="P66" s="31"/>
      <c r="Q66" s="32">
        <f t="shared" si="1"/>
        <v>2</v>
      </c>
    </row>
    <row r="67" spans="1:17" s="20" customFormat="1" ht="30" customHeight="1" x14ac:dyDescent="0.25">
      <c r="A67" s="89"/>
      <c r="B67" s="39" t="s">
        <v>601</v>
      </c>
      <c r="C67" s="46" t="s">
        <v>212</v>
      </c>
      <c r="D67" s="34" t="s">
        <v>422</v>
      </c>
      <c r="E67" s="35"/>
      <c r="F67" s="36"/>
      <c r="G67" s="36"/>
      <c r="H67" s="662" t="s">
        <v>420</v>
      </c>
      <c r="I67" s="663"/>
      <c r="J67" s="663"/>
      <c r="K67" s="663"/>
      <c r="L67" s="663"/>
      <c r="M67" s="664"/>
      <c r="N67" s="37" t="s">
        <v>36</v>
      </c>
      <c r="O67" s="31">
        <v>2</v>
      </c>
      <c r="P67" s="31"/>
      <c r="Q67" s="32">
        <f t="shared" si="1"/>
        <v>2</v>
      </c>
    </row>
    <row r="68" spans="1:17" s="20" customFormat="1" ht="30" customHeight="1" x14ac:dyDescent="0.25">
      <c r="A68" s="89"/>
      <c r="B68" s="39" t="s">
        <v>602</v>
      </c>
      <c r="C68" s="46" t="s">
        <v>209</v>
      </c>
      <c r="D68" s="34" t="s">
        <v>431</v>
      </c>
      <c r="E68" s="35"/>
      <c r="F68" s="36"/>
      <c r="G68" s="36"/>
      <c r="H68" s="662" t="s">
        <v>432</v>
      </c>
      <c r="I68" s="663"/>
      <c r="J68" s="663"/>
      <c r="K68" s="663"/>
      <c r="L68" s="663"/>
      <c r="M68" s="664"/>
      <c r="N68" s="37" t="s">
        <v>36</v>
      </c>
      <c r="O68" s="31"/>
      <c r="P68" s="31"/>
      <c r="Q68" s="32">
        <f t="shared" si="1"/>
        <v>0</v>
      </c>
    </row>
    <row r="69" spans="1:17" s="20" customFormat="1" ht="30" customHeight="1" x14ac:dyDescent="0.25">
      <c r="A69" s="89"/>
      <c r="B69" s="39" t="s">
        <v>603</v>
      </c>
      <c r="C69" s="46" t="s">
        <v>212</v>
      </c>
      <c r="D69" s="34" t="s">
        <v>424</v>
      </c>
      <c r="E69" s="35"/>
      <c r="F69" s="36"/>
      <c r="G69" s="36"/>
      <c r="H69" s="662" t="s">
        <v>423</v>
      </c>
      <c r="I69" s="663"/>
      <c r="J69" s="663"/>
      <c r="K69" s="663"/>
      <c r="L69" s="663"/>
      <c r="M69" s="664"/>
      <c r="N69" s="37" t="s">
        <v>36</v>
      </c>
      <c r="O69" s="31">
        <v>2</v>
      </c>
      <c r="P69" s="31"/>
      <c r="Q69" s="32">
        <f t="shared" si="1"/>
        <v>2</v>
      </c>
    </row>
    <row r="70" spans="1:17" s="20" customFormat="1" ht="30" customHeight="1" x14ac:dyDescent="0.25">
      <c r="A70" s="89"/>
      <c r="B70" s="39" t="s">
        <v>604</v>
      </c>
      <c r="C70" s="46" t="s">
        <v>31</v>
      </c>
      <c r="D70" s="34">
        <v>93653</v>
      </c>
      <c r="E70" s="35"/>
      <c r="F70" s="36"/>
      <c r="G70" s="36"/>
      <c r="H70" s="662" t="s">
        <v>426</v>
      </c>
      <c r="I70" s="662"/>
      <c r="J70" s="662"/>
      <c r="K70" s="662"/>
      <c r="L70" s="662"/>
      <c r="M70" s="668"/>
      <c r="N70" s="37" t="s">
        <v>36</v>
      </c>
      <c r="O70" s="31">
        <v>283</v>
      </c>
      <c r="P70" s="31"/>
      <c r="Q70" s="32">
        <f t="shared" si="1"/>
        <v>283</v>
      </c>
    </row>
    <row r="71" spans="1:17" s="20" customFormat="1" ht="30" customHeight="1" x14ac:dyDescent="0.25">
      <c r="A71" s="89"/>
      <c r="B71" s="39" t="s">
        <v>605</v>
      </c>
      <c r="C71" s="46" t="s">
        <v>31</v>
      </c>
      <c r="D71" s="34">
        <v>93654</v>
      </c>
      <c r="E71" s="35"/>
      <c r="F71" s="36"/>
      <c r="G71" s="36"/>
      <c r="H71" s="662" t="s">
        <v>425</v>
      </c>
      <c r="I71" s="662"/>
      <c r="J71" s="662"/>
      <c r="K71" s="662"/>
      <c r="L71" s="662"/>
      <c r="M71" s="668"/>
      <c r="N71" s="37" t="s">
        <v>36</v>
      </c>
      <c r="O71" s="31">
        <v>60</v>
      </c>
      <c r="P71" s="31"/>
      <c r="Q71" s="32">
        <f t="shared" si="1"/>
        <v>60</v>
      </c>
    </row>
    <row r="72" spans="1:17" s="20" customFormat="1" ht="30" customHeight="1" x14ac:dyDescent="0.25">
      <c r="A72" s="89"/>
      <c r="B72" s="39" t="s">
        <v>606</v>
      </c>
      <c r="C72" s="46" t="s">
        <v>31</v>
      </c>
      <c r="D72" s="34">
        <v>93655</v>
      </c>
      <c r="E72" s="35"/>
      <c r="F72" s="36"/>
      <c r="G72" s="36"/>
      <c r="H72" s="662" t="s">
        <v>427</v>
      </c>
      <c r="I72" s="663"/>
      <c r="J72" s="663"/>
      <c r="K72" s="663"/>
      <c r="L72" s="663"/>
      <c r="M72" s="664"/>
      <c r="N72" s="37" t="s">
        <v>36</v>
      </c>
      <c r="O72" s="31">
        <v>67</v>
      </c>
      <c r="P72" s="31"/>
      <c r="Q72" s="32">
        <f t="shared" si="1"/>
        <v>67</v>
      </c>
    </row>
    <row r="73" spans="1:17" s="20" customFormat="1" ht="30" customHeight="1" x14ac:dyDescent="0.25">
      <c r="A73" s="89"/>
      <c r="B73" s="39" t="s">
        <v>607</v>
      </c>
      <c r="C73" s="46" t="s">
        <v>31</v>
      </c>
      <c r="D73" s="34">
        <v>93656</v>
      </c>
      <c r="E73" s="35"/>
      <c r="F73" s="36"/>
      <c r="G73" s="36"/>
      <c r="H73" s="662" t="s">
        <v>428</v>
      </c>
      <c r="I73" s="663"/>
      <c r="J73" s="663"/>
      <c r="K73" s="663"/>
      <c r="L73" s="663"/>
      <c r="M73" s="664"/>
      <c r="N73" s="37" t="s">
        <v>36</v>
      </c>
      <c r="O73" s="31">
        <v>9</v>
      </c>
      <c r="P73" s="31"/>
      <c r="Q73" s="32">
        <f t="shared" si="1"/>
        <v>9</v>
      </c>
    </row>
    <row r="74" spans="1:17" s="20" customFormat="1" ht="30" customHeight="1" x14ac:dyDescent="0.25">
      <c r="A74" s="89"/>
      <c r="B74" s="39" t="s">
        <v>608</v>
      </c>
      <c r="C74" s="46" t="s">
        <v>209</v>
      </c>
      <c r="D74" s="34" t="s">
        <v>436</v>
      </c>
      <c r="E74" s="35"/>
      <c r="F74" s="36"/>
      <c r="G74" s="36"/>
      <c r="H74" s="662" t="s">
        <v>435</v>
      </c>
      <c r="I74" s="663"/>
      <c r="J74" s="663"/>
      <c r="K74" s="663"/>
      <c r="L74" s="663"/>
      <c r="M74" s="664"/>
      <c r="N74" s="37" t="s">
        <v>36</v>
      </c>
      <c r="O74" s="31">
        <v>76</v>
      </c>
      <c r="P74" s="31"/>
      <c r="Q74" s="32">
        <f t="shared" si="1"/>
        <v>76</v>
      </c>
    </row>
    <row r="75" spans="1:17" s="20" customFormat="1" ht="30" customHeight="1" x14ac:dyDescent="0.25">
      <c r="A75" s="89"/>
      <c r="B75" s="39" t="s">
        <v>609</v>
      </c>
      <c r="C75" s="46" t="s">
        <v>209</v>
      </c>
      <c r="D75" s="34" t="s">
        <v>434</v>
      </c>
      <c r="E75" s="35"/>
      <c r="F75" s="36"/>
      <c r="G75" s="36"/>
      <c r="H75" s="662" t="s">
        <v>433</v>
      </c>
      <c r="I75" s="663"/>
      <c r="J75" s="663"/>
      <c r="K75" s="663"/>
      <c r="L75" s="663"/>
      <c r="M75" s="664"/>
      <c r="N75" s="37" t="s">
        <v>36</v>
      </c>
      <c r="O75" s="31">
        <v>8</v>
      </c>
      <c r="P75" s="31"/>
      <c r="Q75" s="32">
        <f t="shared" si="1"/>
        <v>8</v>
      </c>
    </row>
    <row r="76" spans="1:17" s="20" customFormat="1" ht="30" customHeight="1" x14ac:dyDescent="0.25">
      <c r="A76" s="89"/>
      <c r="B76" s="39" t="s">
        <v>610</v>
      </c>
      <c r="C76" s="46" t="s">
        <v>209</v>
      </c>
      <c r="D76" s="34" t="s">
        <v>437</v>
      </c>
      <c r="E76" s="35"/>
      <c r="F76" s="36"/>
      <c r="G76" s="36"/>
      <c r="H76" s="662" t="s">
        <v>438</v>
      </c>
      <c r="I76" s="663"/>
      <c r="J76" s="663"/>
      <c r="K76" s="663"/>
      <c r="L76" s="663"/>
      <c r="M76" s="664"/>
      <c r="N76" s="37" t="s">
        <v>36</v>
      </c>
      <c r="O76" s="31">
        <v>8</v>
      </c>
      <c r="P76" s="31"/>
      <c r="Q76" s="32">
        <f t="shared" si="1"/>
        <v>8</v>
      </c>
    </row>
    <row r="77" spans="1:17" s="20" customFormat="1" ht="30" customHeight="1" x14ac:dyDescent="0.25">
      <c r="A77" s="89"/>
      <c r="B77" s="39" t="s">
        <v>611</v>
      </c>
      <c r="C77" s="46" t="s">
        <v>212</v>
      </c>
      <c r="D77" s="34" t="s">
        <v>430</v>
      </c>
      <c r="E77" s="35"/>
      <c r="F77" s="36"/>
      <c r="G77" s="36"/>
      <c r="H77" s="662" t="s">
        <v>429</v>
      </c>
      <c r="I77" s="663"/>
      <c r="J77" s="663"/>
      <c r="K77" s="663"/>
      <c r="L77" s="663"/>
      <c r="M77" s="664"/>
      <c r="N77" s="37" t="s">
        <v>36</v>
      </c>
      <c r="O77" s="31">
        <v>27</v>
      </c>
      <c r="P77" s="31"/>
      <c r="Q77" s="32">
        <f t="shared" si="1"/>
        <v>27</v>
      </c>
    </row>
    <row r="78" spans="1:17" s="324" customFormat="1" ht="30" customHeight="1" x14ac:dyDescent="0.25">
      <c r="A78" s="323"/>
      <c r="B78" s="39" t="s">
        <v>612</v>
      </c>
      <c r="C78" s="46" t="s">
        <v>209</v>
      </c>
      <c r="D78" s="34" t="s">
        <v>451</v>
      </c>
      <c r="E78" s="35"/>
      <c r="F78" s="36"/>
      <c r="G78" s="36"/>
      <c r="H78" s="662" t="s">
        <v>450</v>
      </c>
      <c r="I78" s="663"/>
      <c r="J78" s="663"/>
      <c r="K78" s="663"/>
      <c r="L78" s="663"/>
      <c r="M78" s="664"/>
      <c r="N78" s="37" t="s">
        <v>36</v>
      </c>
      <c r="O78" s="31">
        <v>22</v>
      </c>
      <c r="P78" s="31"/>
      <c r="Q78" s="32">
        <f t="shared" si="1"/>
        <v>22</v>
      </c>
    </row>
    <row r="79" spans="1:17" s="20" customFormat="1" ht="30" customHeight="1" x14ac:dyDescent="0.25">
      <c r="A79" s="89"/>
      <c r="B79" s="33" t="s">
        <v>613</v>
      </c>
      <c r="C79" s="46"/>
      <c r="D79" s="34"/>
      <c r="E79" s="35"/>
      <c r="F79" s="36"/>
      <c r="G79" s="28" t="s">
        <v>439</v>
      </c>
      <c r="H79" s="81"/>
      <c r="I79" s="82"/>
      <c r="J79" s="82"/>
      <c r="K79" s="82"/>
      <c r="L79" s="82"/>
      <c r="M79" s="83"/>
      <c r="N79" s="37"/>
      <c r="O79" s="31"/>
      <c r="P79" s="31"/>
      <c r="Q79" s="32">
        <f t="shared" si="1"/>
        <v>0</v>
      </c>
    </row>
    <row r="80" spans="1:17" s="324" customFormat="1" ht="30" customHeight="1" x14ac:dyDescent="0.25">
      <c r="A80" s="323"/>
      <c r="B80" s="39" t="s">
        <v>614</v>
      </c>
      <c r="C80" s="46" t="s">
        <v>31</v>
      </c>
      <c r="D80" s="34">
        <v>91967</v>
      </c>
      <c r="E80" s="35"/>
      <c r="F80" s="36"/>
      <c r="G80" s="36"/>
      <c r="H80" s="662" t="s">
        <v>482</v>
      </c>
      <c r="I80" s="663"/>
      <c r="J80" s="663"/>
      <c r="K80" s="663"/>
      <c r="L80" s="663"/>
      <c r="M80" s="664"/>
      <c r="N80" s="37" t="s">
        <v>36</v>
      </c>
      <c r="O80" s="31">
        <v>2</v>
      </c>
      <c r="P80" s="31"/>
      <c r="Q80" s="32">
        <f t="shared" si="1"/>
        <v>2</v>
      </c>
    </row>
    <row r="81" spans="1:17" s="324" customFormat="1" ht="30" customHeight="1" x14ac:dyDescent="0.25">
      <c r="A81" s="323"/>
      <c r="B81" s="39" t="s">
        <v>615</v>
      </c>
      <c r="C81" s="46" t="s">
        <v>31</v>
      </c>
      <c r="D81" s="34">
        <v>91959</v>
      </c>
      <c r="E81" s="35"/>
      <c r="F81" s="36"/>
      <c r="G81" s="36"/>
      <c r="H81" s="662" t="s">
        <v>275</v>
      </c>
      <c r="I81" s="663"/>
      <c r="J81" s="663"/>
      <c r="K81" s="663"/>
      <c r="L81" s="663"/>
      <c r="M81" s="664"/>
      <c r="N81" s="37" t="s">
        <v>36</v>
      </c>
      <c r="O81" s="31">
        <v>10</v>
      </c>
      <c r="P81" s="31"/>
      <c r="Q81" s="32">
        <f t="shared" ref="Q81:Q112" si="2">+SUM(O81:P81)</f>
        <v>10</v>
      </c>
    </row>
    <row r="82" spans="1:17" s="324" customFormat="1" ht="30" customHeight="1" x14ac:dyDescent="0.25">
      <c r="A82" s="323"/>
      <c r="B82" s="39" t="s">
        <v>616</v>
      </c>
      <c r="C82" s="46" t="s">
        <v>31</v>
      </c>
      <c r="D82" s="34">
        <v>91953</v>
      </c>
      <c r="E82" s="35"/>
      <c r="F82" s="36"/>
      <c r="G82" s="36"/>
      <c r="H82" s="662" t="s">
        <v>276</v>
      </c>
      <c r="I82" s="663"/>
      <c r="J82" s="663"/>
      <c r="K82" s="663"/>
      <c r="L82" s="663"/>
      <c r="M82" s="664"/>
      <c r="N82" s="37" t="s">
        <v>36</v>
      </c>
      <c r="O82" s="31">
        <v>148</v>
      </c>
      <c r="P82" s="31"/>
      <c r="Q82" s="32">
        <f t="shared" si="2"/>
        <v>148</v>
      </c>
    </row>
    <row r="83" spans="1:17" s="324" customFormat="1" ht="30" customHeight="1" x14ac:dyDescent="0.25">
      <c r="A83" s="323"/>
      <c r="B83" s="39" t="s">
        <v>617</v>
      </c>
      <c r="C83" s="46" t="s">
        <v>31</v>
      </c>
      <c r="D83" s="34">
        <v>91955</v>
      </c>
      <c r="E83" s="35"/>
      <c r="F83" s="36"/>
      <c r="G83" s="36"/>
      <c r="H83" s="662" t="s">
        <v>483</v>
      </c>
      <c r="I83" s="663"/>
      <c r="J83" s="663"/>
      <c r="K83" s="663"/>
      <c r="L83" s="663"/>
      <c r="M83" s="664"/>
      <c r="N83" s="37" t="s">
        <v>36</v>
      </c>
      <c r="O83" s="31">
        <v>4</v>
      </c>
      <c r="P83" s="31"/>
      <c r="Q83" s="32">
        <f t="shared" si="2"/>
        <v>4</v>
      </c>
    </row>
    <row r="84" spans="1:17" s="324" customFormat="1" ht="30" customHeight="1" x14ac:dyDescent="0.25">
      <c r="A84" s="323"/>
      <c r="B84" s="39" t="s">
        <v>618</v>
      </c>
      <c r="C84" s="46" t="s">
        <v>31</v>
      </c>
      <c r="D84" s="34">
        <v>91969</v>
      </c>
      <c r="E84" s="35"/>
      <c r="F84" s="36"/>
      <c r="G84" s="36"/>
      <c r="H84" s="662" t="s">
        <v>484</v>
      </c>
      <c r="I84" s="663"/>
      <c r="J84" s="663"/>
      <c r="K84" s="663"/>
      <c r="L84" s="663"/>
      <c r="M84" s="664"/>
      <c r="N84" s="37" t="s">
        <v>36</v>
      </c>
      <c r="O84" s="31">
        <v>2</v>
      </c>
      <c r="P84" s="31"/>
      <c r="Q84" s="32">
        <f t="shared" si="2"/>
        <v>2</v>
      </c>
    </row>
    <row r="85" spans="1:17" s="324" customFormat="1" ht="30" customHeight="1" x14ac:dyDescent="0.25">
      <c r="A85" s="323"/>
      <c r="B85" s="39" t="s">
        <v>619</v>
      </c>
      <c r="C85" s="46" t="s">
        <v>31</v>
      </c>
      <c r="D85" s="34">
        <v>92004</v>
      </c>
      <c r="E85" s="35"/>
      <c r="F85" s="36"/>
      <c r="G85" s="36"/>
      <c r="H85" s="662" t="s">
        <v>277</v>
      </c>
      <c r="I85" s="663"/>
      <c r="J85" s="663"/>
      <c r="K85" s="663"/>
      <c r="L85" s="663"/>
      <c r="M85" s="664"/>
      <c r="N85" s="37" t="s">
        <v>36</v>
      </c>
      <c r="O85" s="31">
        <v>11</v>
      </c>
      <c r="P85" s="31"/>
      <c r="Q85" s="32">
        <f t="shared" si="2"/>
        <v>11</v>
      </c>
    </row>
    <row r="86" spans="1:17" s="324" customFormat="1" ht="30" customHeight="1" x14ac:dyDescent="0.25">
      <c r="A86" s="323"/>
      <c r="B86" s="39" t="s">
        <v>620</v>
      </c>
      <c r="C86" s="46" t="s">
        <v>31</v>
      </c>
      <c r="D86" s="34">
        <v>91996</v>
      </c>
      <c r="E86" s="35"/>
      <c r="F86" s="36"/>
      <c r="G86" s="36"/>
      <c r="H86" s="662" t="s">
        <v>278</v>
      </c>
      <c r="I86" s="663"/>
      <c r="J86" s="663"/>
      <c r="K86" s="663"/>
      <c r="L86" s="663"/>
      <c r="M86" s="664"/>
      <c r="N86" s="37" t="s">
        <v>36</v>
      </c>
      <c r="O86" s="31">
        <v>182</v>
      </c>
      <c r="P86" s="31"/>
      <c r="Q86" s="32">
        <f t="shared" si="2"/>
        <v>182</v>
      </c>
    </row>
    <row r="87" spans="1:17" s="324" customFormat="1" ht="30" customHeight="1" x14ac:dyDescent="0.25">
      <c r="A87" s="323"/>
      <c r="B87" s="39" t="s">
        <v>621</v>
      </c>
      <c r="C87" s="46" t="s">
        <v>209</v>
      </c>
      <c r="D87" s="34" t="s">
        <v>449</v>
      </c>
      <c r="E87" s="35"/>
      <c r="F87" s="36"/>
      <c r="G87" s="36"/>
      <c r="H87" s="662" t="s">
        <v>448</v>
      </c>
      <c r="I87" s="663"/>
      <c r="J87" s="663"/>
      <c r="K87" s="663"/>
      <c r="L87" s="663"/>
      <c r="M87" s="664"/>
      <c r="N87" s="37" t="s">
        <v>36</v>
      </c>
      <c r="O87" s="31">
        <v>644</v>
      </c>
      <c r="P87" s="31"/>
      <c r="Q87" s="32">
        <f t="shared" si="2"/>
        <v>644</v>
      </c>
    </row>
    <row r="88" spans="1:17" s="20" customFormat="1" ht="30" customHeight="1" x14ac:dyDescent="0.25">
      <c r="A88" s="89"/>
      <c r="B88" s="33" t="s">
        <v>622</v>
      </c>
      <c r="C88" s="46"/>
      <c r="D88" s="34"/>
      <c r="E88" s="35"/>
      <c r="F88" s="36"/>
      <c r="G88" s="28" t="s">
        <v>246</v>
      </c>
      <c r="H88" s="81"/>
      <c r="I88" s="82"/>
      <c r="J88" s="82"/>
      <c r="K88" s="82"/>
      <c r="L88" s="82"/>
      <c r="M88" s="83"/>
      <c r="N88" s="37"/>
      <c r="O88" s="31"/>
      <c r="P88" s="31"/>
      <c r="Q88" s="32">
        <f t="shared" si="2"/>
        <v>0</v>
      </c>
    </row>
    <row r="89" spans="1:17" s="324" customFormat="1" ht="30" customHeight="1" x14ac:dyDescent="0.25">
      <c r="A89" s="323"/>
      <c r="B89" s="39" t="s">
        <v>623</v>
      </c>
      <c r="C89" s="46" t="s">
        <v>31</v>
      </c>
      <c r="D89" s="34">
        <v>91940</v>
      </c>
      <c r="E89" s="35"/>
      <c r="F89" s="36"/>
      <c r="G89" s="36"/>
      <c r="H89" s="662" t="s">
        <v>279</v>
      </c>
      <c r="I89" s="663"/>
      <c r="J89" s="663"/>
      <c r="K89" s="663"/>
      <c r="L89" s="663"/>
      <c r="M89" s="664"/>
      <c r="N89" s="37" t="s">
        <v>36</v>
      </c>
      <c r="O89" s="31">
        <v>413</v>
      </c>
      <c r="P89" s="31"/>
      <c r="Q89" s="32">
        <f t="shared" si="2"/>
        <v>413</v>
      </c>
    </row>
    <row r="90" spans="1:17" s="324" customFormat="1" ht="30" customHeight="1" x14ac:dyDescent="0.25">
      <c r="A90" s="323"/>
      <c r="B90" s="39" t="s">
        <v>624</v>
      </c>
      <c r="C90" s="46" t="s">
        <v>31</v>
      </c>
      <c r="D90" s="34">
        <v>91936</v>
      </c>
      <c r="E90" s="35"/>
      <c r="F90" s="36"/>
      <c r="G90" s="36"/>
      <c r="H90" s="662" t="s">
        <v>280</v>
      </c>
      <c r="I90" s="663"/>
      <c r="J90" s="663"/>
      <c r="K90" s="663"/>
      <c r="L90" s="663"/>
      <c r="M90" s="664"/>
      <c r="N90" s="37" t="s">
        <v>36</v>
      </c>
      <c r="O90" s="31">
        <v>904</v>
      </c>
      <c r="P90" s="31"/>
      <c r="Q90" s="32">
        <f t="shared" si="2"/>
        <v>904</v>
      </c>
    </row>
    <row r="91" spans="1:17" s="324" customFormat="1" ht="30" customHeight="1" x14ac:dyDescent="0.25">
      <c r="A91" s="323"/>
      <c r="B91" s="39" t="s">
        <v>676</v>
      </c>
      <c r="C91" s="46" t="s">
        <v>212</v>
      </c>
      <c r="D91" s="34" t="s">
        <v>282</v>
      </c>
      <c r="E91" s="35"/>
      <c r="F91" s="36"/>
      <c r="G91" s="36"/>
      <c r="H91" s="662" t="s">
        <v>281</v>
      </c>
      <c r="I91" s="663"/>
      <c r="J91" s="663"/>
      <c r="K91" s="663"/>
      <c r="L91" s="663"/>
      <c r="M91" s="664"/>
      <c r="N91" s="37" t="s">
        <v>36</v>
      </c>
      <c r="O91" s="31">
        <v>9</v>
      </c>
      <c r="P91" s="31"/>
      <c r="Q91" s="32">
        <f t="shared" si="2"/>
        <v>9</v>
      </c>
    </row>
    <row r="92" spans="1:17" s="324" customFormat="1" ht="30" customHeight="1" x14ac:dyDescent="0.25">
      <c r="A92" s="323"/>
      <c r="B92" s="39" t="s">
        <v>677</v>
      </c>
      <c r="C92" s="46" t="s">
        <v>209</v>
      </c>
      <c r="D92" s="34" t="s">
        <v>441</v>
      </c>
      <c r="E92" s="35"/>
      <c r="F92" s="36"/>
      <c r="G92" s="36"/>
      <c r="H92" s="662" t="s">
        <v>440</v>
      </c>
      <c r="I92" s="663"/>
      <c r="J92" s="663"/>
      <c r="K92" s="663"/>
      <c r="L92" s="663"/>
      <c r="M92" s="664"/>
      <c r="N92" s="37" t="s">
        <v>36</v>
      </c>
      <c r="O92" s="31">
        <v>31</v>
      </c>
      <c r="P92" s="31"/>
      <c r="Q92" s="32">
        <f t="shared" si="2"/>
        <v>31</v>
      </c>
    </row>
    <row r="93" spans="1:17" s="324" customFormat="1" ht="30" customHeight="1" x14ac:dyDescent="0.25">
      <c r="A93" s="323"/>
      <c r="B93" s="39" t="s">
        <v>678</v>
      </c>
      <c r="C93" s="46" t="s">
        <v>209</v>
      </c>
      <c r="D93" s="34" t="s">
        <v>442</v>
      </c>
      <c r="E93" s="35"/>
      <c r="F93" s="36"/>
      <c r="G93" s="36"/>
      <c r="H93" s="662" t="s">
        <v>443</v>
      </c>
      <c r="I93" s="663"/>
      <c r="J93" s="663"/>
      <c r="K93" s="663"/>
      <c r="L93" s="663"/>
      <c r="M93" s="664"/>
      <c r="N93" s="37" t="s">
        <v>36</v>
      </c>
      <c r="O93" s="31">
        <v>339</v>
      </c>
      <c r="P93" s="31"/>
      <c r="Q93" s="32">
        <f t="shared" si="2"/>
        <v>339</v>
      </c>
    </row>
    <row r="94" spans="1:17" s="324" customFormat="1" ht="30" customHeight="1" x14ac:dyDescent="0.25">
      <c r="A94" s="323"/>
      <c r="B94" s="39" t="s">
        <v>679</v>
      </c>
      <c r="C94" s="46" t="s">
        <v>209</v>
      </c>
      <c r="D94" s="34" t="s">
        <v>445</v>
      </c>
      <c r="E94" s="35"/>
      <c r="F94" s="36"/>
      <c r="G94" s="36"/>
      <c r="H94" s="662" t="s">
        <v>444</v>
      </c>
      <c r="I94" s="663"/>
      <c r="J94" s="663"/>
      <c r="K94" s="663"/>
      <c r="L94" s="663"/>
      <c r="M94" s="664"/>
      <c r="N94" s="37" t="s">
        <v>35</v>
      </c>
      <c r="O94" s="31">
        <f>+O45</f>
        <v>761.8</v>
      </c>
      <c r="P94" s="31"/>
      <c r="Q94" s="32">
        <f t="shared" si="2"/>
        <v>761.8</v>
      </c>
    </row>
    <row r="95" spans="1:17" s="324" customFormat="1" ht="30" customHeight="1" x14ac:dyDescent="0.25">
      <c r="A95" s="323"/>
      <c r="B95" s="39" t="s">
        <v>680</v>
      </c>
      <c r="C95" s="46" t="s">
        <v>31</v>
      </c>
      <c r="D95" s="34">
        <v>93017</v>
      </c>
      <c r="E95" s="35"/>
      <c r="F95" s="36"/>
      <c r="G95" s="36"/>
      <c r="H95" s="662" t="s">
        <v>447</v>
      </c>
      <c r="I95" s="663"/>
      <c r="J95" s="663"/>
      <c r="K95" s="663"/>
      <c r="L95" s="663"/>
      <c r="M95" s="664"/>
      <c r="N95" s="37" t="s">
        <v>36</v>
      </c>
      <c r="O95" s="31">
        <v>1</v>
      </c>
      <c r="P95" s="31"/>
      <c r="Q95" s="32">
        <f t="shared" si="2"/>
        <v>1</v>
      </c>
    </row>
    <row r="96" spans="1:17" s="324" customFormat="1" ht="30" customHeight="1" x14ac:dyDescent="0.25">
      <c r="A96" s="323"/>
      <c r="B96" s="39" t="s">
        <v>681</v>
      </c>
      <c r="C96" s="46" t="s">
        <v>209</v>
      </c>
      <c r="D96" s="34" t="s">
        <v>494</v>
      </c>
      <c r="E96" s="35"/>
      <c r="F96" s="36"/>
      <c r="G96" s="36"/>
      <c r="H96" s="662" t="s">
        <v>493</v>
      </c>
      <c r="I96" s="663"/>
      <c r="J96" s="663"/>
      <c r="K96" s="663"/>
      <c r="L96" s="663"/>
      <c r="M96" s="664"/>
      <c r="N96" s="37" t="s">
        <v>36</v>
      </c>
      <c r="O96" s="31">
        <v>24</v>
      </c>
      <c r="P96" s="31"/>
      <c r="Q96" s="32">
        <f t="shared" si="2"/>
        <v>24</v>
      </c>
    </row>
    <row r="97" spans="1:17" s="324" customFormat="1" ht="30" customHeight="1" x14ac:dyDescent="0.25">
      <c r="A97" s="323"/>
      <c r="B97" s="39" t="s">
        <v>682</v>
      </c>
      <c r="C97" s="46" t="s">
        <v>209</v>
      </c>
      <c r="D97" s="34" t="s">
        <v>495</v>
      </c>
      <c r="E97" s="35"/>
      <c r="F97" s="36"/>
      <c r="G97" s="36"/>
      <c r="H97" s="662" t="s">
        <v>496</v>
      </c>
      <c r="I97" s="663"/>
      <c r="J97" s="663"/>
      <c r="K97" s="663"/>
      <c r="L97" s="663"/>
      <c r="M97" s="664"/>
      <c r="N97" s="37" t="s">
        <v>36</v>
      </c>
      <c r="O97" s="31">
        <v>4</v>
      </c>
      <c r="P97" s="31"/>
      <c r="Q97" s="32">
        <f t="shared" si="2"/>
        <v>4</v>
      </c>
    </row>
    <row r="98" spans="1:17" s="324" customFormat="1" ht="30" customHeight="1" x14ac:dyDescent="0.25">
      <c r="A98" s="323"/>
      <c r="B98" s="39" t="s">
        <v>683</v>
      </c>
      <c r="C98" s="46" t="s">
        <v>209</v>
      </c>
      <c r="D98" s="34" t="s">
        <v>498</v>
      </c>
      <c r="E98" s="35"/>
      <c r="F98" s="36"/>
      <c r="G98" s="36"/>
      <c r="H98" s="662" t="s">
        <v>497</v>
      </c>
      <c r="I98" s="663"/>
      <c r="J98" s="663"/>
      <c r="K98" s="663"/>
      <c r="L98" s="663"/>
      <c r="M98" s="664"/>
      <c r="N98" s="37" t="s">
        <v>36</v>
      </c>
      <c r="O98" s="31">
        <f>ROUNDUP((O43+O44)/3,0)</f>
        <v>24</v>
      </c>
      <c r="P98" s="31"/>
      <c r="Q98" s="32">
        <f t="shared" si="2"/>
        <v>24</v>
      </c>
    </row>
    <row r="99" spans="1:17" s="324" customFormat="1" ht="30" customHeight="1" x14ac:dyDescent="0.25">
      <c r="A99" s="323"/>
      <c r="B99" s="39" t="s">
        <v>684</v>
      </c>
      <c r="C99" s="46" t="s">
        <v>209</v>
      </c>
      <c r="D99" s="34" t="s">
        <v>507</v>
      </c>
      <c r="E99" s="35"/>
      <c r="F99" s="36"/>
      <c r="G99" s="36"/>
      <c r="H99" s="662" t="s">
        <v>506</v>
      </c>
      <c r="I99" s="663"/>
      <c r="J99" s="663"/>
      <c r="K99" s="663"/>
      <c r="L99" s="663"/>
      <c r="M99" s="664"/>
      <c r="N99" s="37" t="s">
        <v>36</v>
      </c>
      <c r="O99" s="31">
        <v>6</v>
      </c>
      <c r="P99" s="31"/>
      <c r="Q99" s="32">
        <f t="shared" si="2"/>
        <v>6</v>
      </c>
    </row>
    <row r="100" spans="1:17" s="324" customFormat="1" ht="30" customHeight="1" x14ac:dyDescent="0.25">
      <c r="A100" s="323"/>
      <c r="B100" s="39" t="s">
        <v>685</v>
      </c>
      <c r="C100" s="46" t="s">
        <v>212</v>
      </c>
      <c r="D100" s="34" t="s">
        <v>518</v>
      </c>
      <c r="E100" s="35"/>
      <c r="F100" s="36"/>
      <c r="G100" s="36"/>
      <c r="H100" s="662" t="s">
        <v>517</v>
      </c>
      <c r="I100" s="663"/>
      <c r="J100" s="663"/>
      <c r="K100" s="663"/>
      <c r="L100" s="663"/>
      <c r="M100" s="664"/>
      <c r="N100" s="37" t="s">
        <v>36</v>
      </c>
      <c r="O100" s="31"/>
      <c r="P100" s="31"/>
      <c r="Q100" s="32">
        <f t="shared" si="2"/>
        <v>0</v>
      </c>
    </row>
    <row r="101" spans="1:17" s="324" customFormat="1" ht="30" customHeight="1" x14ac:dyDescent="0.25">
      <c r="A101" s="323"/>
      <c r="B101" s="39" t="s">
        <v>686</v>
      </c>
      <c r="C101" s="46" t="s">
        <v>212</v>
      </c>
      <c r="D101" s="34" t="s">
        <v>520</v>
      </c>
      <c r="E101" s="35"/>
      <c r="F101" s="36"/>
      <c r="G101" s="36"/>
      <c r="H101" s="662" t="s">
        <v>519</v>
      </c>
      <c r="I101" s="662"/>
      <c r="J101" s="662"/>
      <c r="K101" s="662"/>
      <c r="L101" s="662"/>
      <c r="M101" s="668"/>
      <c r="N101" s="37" t="s">
        <v>36</v>
      </c>
      <c r="O101" s="31"/>
      <c r="P101" s="31"/>
      <c r="Q101" s="32">
        <f t="shared" si="2"/>
        <v>0</v>
      </c>
    </row>
    <row r="102" spans="1:17" s="324" customFormat="1" ht="30" customHeight="1" x14ac:dyDescent="0.25">
      <c r="A102" s="323"/>
      <c r="B102" s="39" t="s">
        <v>687</v>
      </c>
      <c r="C102" s="46" t="s">
        <v>209</v>
      </c>
      <c r="D102" s="34" t="s">
        <v>510</v>
      </c>
      <c r="E102" s="35"/>
      <c r="F102" s="36"/>
      <c r="G102" s="36"/>
      <c r="H102" s="662" t="s">
        <v>509</v>
      </c>
      <c r="I102" s="663"/>
      <c r="J102" s="663"/>
      <c r="K102" s="663"/>
      <c r="L102" s="663"/>
      <c r="M102" s="664"/>
      <c r="N102" s="37" t="s">
        <v>36</v>
      </c>
      <c r="O102" s="31">
        <v>936</v>
      </c>
      <c r="P102" s="31"/>
      <c r="Q102" s="32">
        <f t="shared" si="2"/>
        <v>936</v>
      </c>
    </row>
    <row r="103" spans="1:17" s="324" customFormat="1" ht="30" customHeight="1" x14ac:dyDescent="0.25">
      <c r="A103" s="323"/>
      <c r="B103" s="39" t="s">
        <v>688</v>
      </c>
      <c r="C103" s="46" t="s">
        <v>212</v>
      </c>
      <c r="D103" s="34" t="s">
        <v>490</v>
      </c>
      <c r="E103" s="35"/>
      <c r="F103" s="36"/>
      <c r="G103" s="36"/>
      <c r="H103" s="662" t="s">
        <v>489</v>
      </c>
      <c r="I103" s="663"/>
      <c r="J103" s="663"/>
      <c r="K103" s="663"/>
      <c r="L103" s="663"/>
      <c r="M103" s="664"/>
      <c r="N103" s="37" t="s">
        <v>36</v>
      </c>
      <c r="O103" s="31">
        <v>6</v>
      </c>
      <c r="P103" s="31"/>
      <c r="Q103" s="32">
        <f t="shared" si="2"/>
        <v>6</v>
      </c>
    </row>
    <row r="104" spans="1:17" s="324" customFormat="1" ht="30" customHeight="1" x14ac:dyDescent="0.25">
      <c r="A104" s="323"/>
      <c r="B104" s="39" t="s">
        <v>689</v>
      </c>
      <c r="C104" s="46" t="s">
        <v>209</v>
      </c>
      <c r="D104" s="34" t="s">
        <v>491</v>
      </c>
      <c r="E104" s="35"/>
      <c r="F104" s="36"/>
      <c r="G104" s="36"/>
      <c r="H104" s="662" t="s">
        <v>492</v>
      </c>
      <c r="I104" s="663"/>
      <c r="J104" s="663"/>
      <c r="K104" s="663"/>
      <c r="L104" s="663"/>
      <c r="M104" s="664"/>
      <c r="N104" s="37" t="s">
        <v>36</v>
      </c>
      <c r="O104" s="31">
        <v>45</v>
      </c>
      <c r="P104" s="31"/>
      <c r="Q104" s="32">
        <f t="shared" si="2"/>
        <v>45</v>
      </c>
    </row>
    <row r="105" spans="1:17" s="324" customFormat="1" ht="30" customHeight="1" x14ac:dyDescent="0.25">
      <c r="A105" s="323"/>
      <c r="B105" s="39" t="s">
        <v>690</v>
      </c>
      <c r="C105" s="46" t="s">
        <v>212</v>
      </c>
      <c r="D105" s="34" t="s">
        <v>284</v>
      </c>
      <c r="E105" s="35"/>
      <c r="F105" s="36"/>
      <c r="G105" s="36"/>
      <c r="H105" s="662" t="s">
        <v>283</v>
      </c>
      <c r="I105" s="663"/>
      <c r="J105" s="663"/>
      <c r="K105" s="663"/>
      <c r="L105" s="663"/>
      <c r="M105" s="664"/>
      <c r="N105" s="37" t="s">
        <v>36</v>
      </c>
      <c r="O105" s="31">
        <v>291</v>
      </c>
      <c r="P105" s="31"/>
      <c r="Q105" s="32">
        <f t="shared" si="2"/>
        <v>291</v>
      </c>
    </row>
    <row r="106" spans="1:17" s="324" customFormat="1" ht="30" customHeight="1" x14ac:dyDescent="0.25">
      <c r="A106" s="323"/>
      <c r="B106" s="39" t="s">
        <v>691</v>
      </c>
      <c r="C106" s="46" t="s">
        <v>31</v>
      </c>
      <c r="D106" s="34">
        <v>95817</v>
      </c>
      <c r="E106" s="35"/>
      <c r="F106" s="36"/>
      <c r="G106" s="36"/>
      <c r="H106" s="662" t="s">
        <v>446</v>
      </c>
      <c r="I106" s="663"/>
      <c r="J106" s="663"/>
      <c r="K106" s="663"/>
      <c r="L106" s="663"/>
      <c r="M106" s="664"/>
      <c r="N106" s="37" t="s">
        <v>36</v>
      </c>
      <c r="O106" s="31">
        <v>6</v>
      </c>
      <c r="P106" s="31"/>
      <c r="Q106" s="32">
        <f t="shared" si="2"/>
        <v>6</v>
      </c>
    </row>
    <row r="107" spans="1:17" s="324" customFormat="1" ht="30" customHeight="1" x14ac:dyDescent="0.25">
      <c r="A107" s="323"/>
      <c r="B107" s="39" t="s">
        <v>692</v>
      </c>
      <c r="C107" s="46" t="s">
        <v>209</v>
      </c>
      <c r="D107" s="34" t="s">
        <v>453</v>
      </c>
      <c r="E107" s="35"/>
      <c r="F107" s="36"/>
      <c r="G107" s="36"/>
      <c r="H107" s="662" t="s">
        <v>452</v>
      </c>
      <c r="I107" s="663"/>
      <c r="J107" s="663"/>
      <c r="K107" s="663"/>
      <c r="L107" s="663"/>
      <c r="M107" s="664"/>
      <c r="N107" s="37" t="s">
        <v>36</v>
      </c>
      <c r="O107" s="31">
        <v>936</v>
      </c>
      <c r="P107" s="31"/>
      <c r="Q107" s="32">
        <f t="shared" si="2"/>
        <v>936</v>
      </c>
    </row>
    <row r="108" spans="1:17" s="324" customFormat="1" ht="30" customHeight="1" x14ac:dyDescent="0.25">
      <c r="A108" s="323"/>
      <c r="B108" s="39" t="s">
        <v>693</v>
      </c>
      <c r="C108" s="46" t="s">
        <v>209</v>
      </c>
      <c r="D108" s="34" t="s">
        <v>455</v>
      </c>
      <c r="E108" s="35"/>
      <c r="F108" s="36"/>
      <c r="G108" s="36"/>
      <c r="H108" s="662" t="s">
        <v>454</v>
      </c>
      <c r="I108" s="663"/>
      <c r="J108" s="663"/>
      <c r="K108" s="663"/>
      <c r="L108" s="663"/>
      <c r="M108" s="664"/>
      <c r="N108" s="37" t="s">
        <v>36</v>
      </c>
      <c r="O108" s="31">
        <v>2577</v>
      </c>
      <c r="P108" s="31"/>
      <c r="Q108" s="32">
        <f t="shared" si="2"/>
        <v>2577</v>
      </c>
    </row>
    <row r="109" spans="1:17" s="324" customFormat="1" ht="30" customHeight="1" x14ac:dyDescent="0.25">
      <c r="A109" s="323"/>
      <c r="B109" s="39" t="s">
        <v>694</v>
      </c>
      <c r="C109" s="46" t="s">
        <v>209</v>
      </c>
      <c r="D109" s="34" t="s">
        <v>457</v>
      </c>
      <c r="E109" s="35"/>
      <c r="F109" s="36"/>
      <c r="G109" s="36"/>
      <c r="H109" s="662" t="s">
        <v>456</v>
      </c>
      <c r="I109" s="663"/>
      <c r="J109" s="663"/>
      <c r="K109" s="663"/>
      <c r="L109" s="663"/>
      <c r="M109" s="664"/>
      <c r="N109" s="37" t="s">
        <v>36</v>
      </c>
      <c r="O109" s="31">
        <v>12</v>
      </c>
      <c r="P109" s="31"/>
      <c r="Q109" s="32">
        <f t="shared" si="2"/>
        <v>12</v>
      </c>
    </row>
    <row r="110" spans="1:17" s="324" customFormat="1" ht="30" customHeight="1" x14ac:dyDescent="0.25">
      <c r="A110" s="323"/>
      <c r="B110" s="39" t="s">
        <v>695</v>
      </c>
      <c r="C110" s="46" t="s">
        <v>209</v>
      </c>
      <c r="D110" s="34" t="s">
        <v>459</v>
      </c>
      <c r="E110" s="35"/>
      <c r="F110" s="36"/>
      <c r="G110" s="36"/>
      <c r="H110" s="662" t="s">
        <v>458</v>
      </c>
      <c r="I110" s="663"/>
      <c r="J110" s="663"/>
      <c r="K110" s="663"/>
      <c r="L110" s="663"/>
      <c r="M110" s="664"/>
      <c r="N110" s="37" t="s">
        <v>36</v>
      </c>
      <c r="O110" s="31">
        <v>31</v>
      </c>
      <c r="P110" s="31"/>
      <c r="Q110" s="32">
        <f t="shared" si="2"/>
        <v>31</v>
      </c>
    </row>
    <row r="111" spans="1:17" s="324" customFormat="1" ht="30" customHeight="1" x14ac:dyDescent="0.25">
      <c r="A111" s="323"/>
      <c r="B111" s="39" t="s">
        <v>696</v>
      </c>
      <c r="C111" s="46" t="s">
        <v>209</v>
      </c>
      <c r="D111" s="34" t="s">
        <v>461</v>
      </c>
      <c r="E111" s="35"/>
      <c r="F111" s="36"/>
      <c r="G111" s="36"/>
      <c r="H111" s="662" t="s">
        <v>460</v>
      </c>
      <c r="I111" s="663"/>
      <c r="J111" s="663"/>
      <c r="K111" s="663"/>
      <c r="L111" s="663"/>
      <c r="M111" s="664"/>
      <c r="N111" s="37" t="s">
        <v>36</v>
      </c>
      <c r="O111" s="31">
        <v>377</v>
      </c>
      <c r="P111" s="31"/>
      <c r="Q111" s="32">
        <f t="shared" si="2"/>
        <v>377</v>
      </c>
    </row>
    <row r="112" spans="1:17" s="324" customFormat="1" ht="30" customHeight="1" x14ac:dyDescent="0.25">
      <c r="A112" s="323"/>
      <c r="B112" s="39" t="s">
        <v>697</v>
      </c>
      <c r="C112" s="46" t="s">
        <v>209</v>
      </c>
      <c r="D112" s="34" t="s">
        <v>462</v>
      </c>
      <c r="E112" s="35"/>
      <c r="F112" s="36"/>
      <c r="G112" s="36"/>
      <c r="H112" s="662" t="s">
        <v>464</v>
      </c>
      <c r="I112" s="663"/>
      <c r="J112" s="663"/>
      <c r="K112" s="663"/>
      <c r="L112" s="663"/>
      <c r="M112" s="664"/>
      <c r="N112" s="37" t="s">
        <v>36</v>
      </c>
      <c r="O112" s="31">
        <v>1</v>
      </c>
      <c r="P112" s="31"/>
      <c r="Q112" s="32">
        <f t="shared" si="2"/>
        <v>1</v>
      </c>
    </row>
    <row r="113" spans="1:17" s="324" customFormat="1" ht="30" customHeight="1" x14ac:dyDescent="0.25">
      <c r="A113" s="323"/>
      <c r="B113" s="39" t="s">
        <v>698</v>
      </c>
      <c r="C113" s="46" t="s">
        <v>209</v>
      </c>
      <c r="D113" s="34" t="s">
        <v>463</v>
      </c>
      <c r="E113" s="35"/>
      <c r="F113" s="36"/>
      <c r="G113" s="36"/>
      <c r="H113" s="662" t="s">
        <v>465</v>
      </c>
      <c r="I113" s="663"/>
      <c r="J113" s="663"/>
      <c r="K113" s="663"/>
      <c r="L113" s="663"/>
      <c r="M113" s="664"/>
      <c r="N113" s="37" t="s">
        <v>36</v>
      </c>
      <c r="O113" s="31">
        <v>8</v>
      </c>
      <c r="P113" s="31"/>
      <c r="Q113" s="32">
        <f t="shared" ref="Q113:Q134" si="3">+SUM(O113:P113)</f>
        <v>8</v>
      </c>
    </row>
    <row r="114" spans="1:17" s="324" customFormat="1" ht="30" customHeight="1" x14ac:dyDescent="0.25">
      <c r="A114" s="323"/>
      <c r="B114" s="39" t="s">
        <v>699</v>
      </c>
      <c r="C114" s="46" t="s">
        <v>209</v>
      </c>
      <c r="D114" s="34" t="s">
        <v>469</v>
      </c>
      <c r="E114" s="35"/>
      <c r="F114" s="36"/>
      <c r="G114" s="36"/>
      <c r="H114" s="662" t="s">
        <v>468</v>
      </c>
      <c r="I114" s="663"/>
      <c r="J114" s="663"/>
      <c r="K114" s="663"/>
      <c r="L114" s="663"/>
      <c r="M114" s="664"/>
      <c r="N114" s="37" t="s">
        <v>36</v>
      </c>
      <c r="O114" s="31">
        <v>1</v>
      </c>
      <c r="P114" s="31"/>
      <c r="Q114" s="32">
        <f t="shared" si="3"/>
        <v>1</v>
      </c>
    </row>
    <row r="115" spans="1:17" s="324" customFormat="1" ht="30" customHeight="1" x14ac:dyDescent="0.25">
      <c r="A115" s="323"/>
      <c r="B115" s="39" t="s">
        <v>700</v>
      </c>
      <c r="C115" s="46" t="s">
        <v>209</v>
      </c>
      <c r="D115" s="34" t="s">
        <v>470</v>
      </c>
      <c r="E115" s="35"/>
      <c r="F115" s="36"/>
      <c r="G115" s="36"/>
      <c r="H115" s="662" t="s">
        <v>473</v>
      </c>
      <c r="I115" s="663"/>
      <c r="J115" s="663"/>
      <c r="K115" s="663"/>
      <c r="L115" s="663"/>
      <c r="M115" s="664"/>
      <c r="N115" s="37" t="s">
        <v>36</v>
      </c>
      <c r="O115" s="31">
        <v>8</v>
      </c>
      <c r="P115" s="31"/>
      <c r="Q115" s="32">
        <f t="shared" si="3"/>
        <v>8</v>
      </c>
    </row>
    <row r="116" spans="1:17" s="324" customFormat="1" ht="30" customHeight="1" x14ac:dyDescent="0.25">
      <c r="A116" s="323"/>
      <c r="B116" s="39" t="s">
        <v>701</v>
      </c>
      <c r="C116" s="46" t="s">
        <v>209</v>
      </c>
      <c r="D116" s="34" t="s">
        <v>471</v>
      </c>
      <c r="E116" s="35"/>
      <c r="F116" s="36"/>
      <c r="G116" s="36"/>
      <c r="H116" s="662" t="s">
        <v>472</v>
      </c>
      <c r="I116" s="663"/>
      <c r="J116" s="663"/>
      <c r="K116" s="663"/>
      <c r="L116" s="663"/>
      <c r="M116" s="664"/>
      <c r="N116" s="37" t="s">
        <v>36</v>
      </c>
      <c r="O116" s="31">
        <v>6</v>
      </c>
      <c r="P116" s="31"/>
      <c r="Q116" s="32">
        <f t="shared" si="3"/>
        <v>6</v>
      </c>
    </row>
    <row r="117" spans="1:17" s="324" customFormat="1" ht="30" customHeight="1" x14ac:dyDescent="0.25">
      <c r="A117" s="323"/>
      <c r="B117" s="39" t="s">
        <v>702</v>
      </c>
      <c r="C117" s="46" t="s">
        <v>209</v>
      </c>
      <c r="D117" s="34" t="s">
        <v>475</v>
      </c>
      <c r="E117" s="35"/>
      <c r="F117" s="36"/>
      <c r="G117" s="36"/>
      <c r="H117" s="662" t="s">
        <v>474</v>
      </c>
      <c r="I117" s="663"/>
      <c r="J117" s="663"/>
      <c r="K117" s="663"/>
      <c r="L117" s="663"/>
      <c r="M117" s="664"/>
      <c r="N117" s="37" t="s">
        <v>36</v>
      </c>
      <c r="O117" s="31">
        <v>51</v>
      </c>
      <c r="P117" s="31"/>
      <c r="Q117" s="32">
        <f t="shared" si="3"/>
        <v>51</v>
      </c>
    </row>
    <row r="118" spans="1:17" s="324" customFormat="1" ht="30" customHeight="1" x14ac:dyDescent="0.25">
      <c r="A118" s="323"/>
      <c r="B118" s="39" t="s">
        <v>703</v>
      </c>
      <c r="C118" s="46" t="s">
        <v>209</v>
      </c>
      <c r="D118" s="34" t="s">
        <v>476</v>
      </c>
      <c r="E118" s="35"/>
      <c r="F118" s="36"/>
      <c r="G118" s="36"/>
      <c r="H118" s="662" t="s">
        <v>477</v>
      </c>
      <c r="I118" s="663"/>
      <c r="J118" s="663"/>
      <c r="K118" s="663"/>
      <c r="L118" s="663"/>
      <c r="M118" s="664"/>
      <c r="N118" s="37" t="s">
        <v>36</v>
      </c>
      <c r="O118" s="31">
        <v>1448</v>
      </c>
      <c r="P118" s="31"/>
      <c r="Q118" s="32">
        <f t="shared" si="3"/>
        <v>1448</v>
      </c>
    </row>
    <row r="119" spans="1:17" s="324" customFormat="1" ht="30" customHeight="1" x14ac:dyDescent="0.25">
      <c r="A119" s="323"/>
      <c r="B119" s="39" t="s">
        <v>704</v>
      </c>
      <c r="C119" s="46" t="s">
        <v>209</v>
      </c>
      <c r="D119" s="34" t="s">
        <v>479</v>
      </c>
      <c r="E119" s="35"/>
      <c r="F119" s="36"/>
      <c r="G119" s="36"/>
      <c r="H119" s="662" t="s">
        <v>478</v>
      </c>
      <c r="I119" s="663"/>
      <c r="J119" s="663"/>
      <c r="K119" s="663"/>
      <c r="L119" s="663"/>
      <c r="M119" s="664"/>
      <c r="N119" s="37" t="s">
        <v>36</v>
      </c>
      <c r="O119" s="31">
        <v>2465</v>
      </c>
      <c r="P119" s="31"/>
      <c r="Q119" s="32">
        <f t="shared" si="3"/>
        <v>2465</v>
      </c>
    </row>
    <row r="120" spans="1:17" s="324" customFormat="1" ht="30" customHeight="1" x14ac:dyDescent="0.25">
      <c r="A120" s="323"/>
      <c r="B120" s="39" t="s">
        <v>705</v>
      </c>
      <c r="C120" s="46" t="s">
        <v>209</v>
      </c>
      <c r="D120" s="34" t="s">
        <v>481</v>
      </c>
      <c r="E120" s="35"/>
      <c r="F120" s="36"/>
      <c r="G120" s="36"/>
      <c r="H120" s="662" t="s">
        <v>480</v>
      </c>
      <c r="I120" s="663"/>
      <c r="J120" s="663"/>
      <c r="K120" s="663"/>
      <c r="L120" s="663"/>
      <c r="M120" s="664"/>
      <c r="N120" s="37" t="s">
        <v>36</v>
      </c>
      <c r="O120" s="31">
        <v>936</v>
      </c>
      <c r="P120" s="31"/>
      <c r="Q120" s="32">
        <f t="shared" si="3"/>
        <v>936</v>
      </c>
    </row>
    <row r="121" spans="1:17" s="324" customFormat="1" ht="30" customHeight="1" x14ac:dyDescent="0.25">
      <c r="A121" s="323"/>
      <c r="B121" s="39" t="s">
        <v>706</v>
      </c>
      <c r="C121" s="46" t="s">
        <v>212</v>
      </c>
      <c r="D121" s="34" t="s">
        <v>467</v>
      </c>
      <c r="E121" s="35"/>
      <c r="F121" s="36"/>
      <c r="G121" s="36"/>
      <c r="H121" s="662" t="s">
        <v>466</v>
      </c>
      <c r="I121" s="663"/>
      <c r="J121" s="663"/>
      <c r="K121" s="663"/>
      <c r="L121" s="663"/>
      <c r="M121" s="664"/>
      <c r="N121" s="37" t="s">
        <v>35</v>
      </c>
      <c r="O121" s="31">
        <f>987*0.6</f>
        <v>592.19999999999993</v>
      </c>
      <c r="P121" s="31"/>
      <c r="Q121" s="32">
        <f t="shared" si="3"/>
        <v>592.19999999999993</v>
      </c>
    </row>
    <row r="122" spans="1:17" s="324" customFormat="1" ht="30" customHeight="1" x14ac:dyDescent="0.25">
      <c r="A122" s="323"/>
      <c r="B122" s="39" t="s">
        <v>707</v>
      </c>
      <c r="C122" s="46" t="s">
        <v>31</v>
      </c>
      <c r="D122" s="34">
        <v>101553</v>
      </c>
      <c r="E122" s="35"/>
      <c r="F122" s="36"/>
      <c r="G122" s="36"/>
      <c r="H122" s="662" t="s">
        <v>521</v>
      </c>
      <c r="I122" s="663"/>
      <c r="J122" s="663"/>
      <c r="K122" s="663"/>
      <c r="L122" s="663"/>
      <c r="M122" s="664"/>
      <c r="N122" s="37" t="s">
        <v>36</v>
      </c>
      <c r="O122" s="31">
        <v>3</v>
      </c>
      <c r="P122" s="31"/>
      <c r="Q122" s="32">
        <f t="shared" si="3"/>
        <v>3</v>
      </c>
    </row>
    <row r="123" spans="1:17" s="324" customFormat="1" ht="30" customHeight="1" x14ac:dyDescent="0.25">
      <c r="A123" s="323"/>
      <c r="B123" s="39" t="s">
        <v>708</v>
      </c>
      <c r="C123" s="46" t="s">
        <v>31</v>
      </c>
      <c r="D123" s="34">
        <v>101547</v>
      </c>
      <c r="E123" s="35"/>
      <c r="F123" s="36"/>
      <c r="G123" s="36"/>
      <c r="H123" s="662" t="s">
        <v>522</v>
      </c>
      <c r="I123" s="663"/>
      <c r="J123" s="663"/>
      <c r="K123" s="663"/>
      <c r="L123" s="663"/>
      <c r="M123" s="664"/>
      <c r="N123" s="37" t="s">
        <v>36</v>
      </c>
      <c r="O123" s="31">
        <v>3</v>
      </c>
      <c r="P123" s="31"/>
      <c r="Q123" s="32">
        <f t="shared" si="3"/>
        <v>3</v>
      </c>
    </row>
    <row r="124" spans="1:17" s="324" customFormat="1" ht="30" customHeight="1" x14ac:dyDescent="0.25">
      <c r="A124" s="323"/>
      <c r="B124" s="39" t="s">
        <v>709</v>
      </c>
      <c r="C124" s="46" t="s">
        <v>212</v>
      </c>
      <c r="D124" s="34" t="s">
        <v>524</v>
      </c>
      <c r="E124" s="35"/>
      <c r="F124" s="36"/>
      <c r="G124" s="36"/>
      <c r="H124" s="662" t="s">
        <v>523</v>
      </c>
      <c r="I124" s="663"/>
      <c r="J124" s="663"/>
      <c r="K124" s="663"/>
      <c r="L124" s="663"/>
      <c r="M124" s="664"/>
      <c r="N124" s="37" t="s">
        <v>36</v>
      </c>
      <c r="O124" s="31">
        <v>1</v>
      </c>
      <c r="P124" s="31"/>
      <c r="Q124" s="32">
        <f t="shared" si="3"/>
        <v>1</v>
      </c>
    </row>
    <row r="125" spans="1:17" s="324" customFormat="1" ht="30" customHeight="1" x14ac:dyDescent="0.25">
      <c r="A125" s="323"/>
      <c r="B125" s="39" t="s">
        <v>710</v>
      </c>
      <c r="C125" s="46" t="s">
        <v>212</v>
      </c>
      <c r="D125" s="34" t="s">
        <v>526</v>
      </c>
      <c r="E125" s="35"/>
      <c r="F125" s="36"/>
      <c r="G125" s="36"/>
      <c r="H125" s="662" t="s">
        <v>525</v>
      </c>
      <c r="I125" s="663"/>
      <c r="J125" s="663"/>
      <c r="K125" s="663"/>
      <c r="L125" s="663"/>
      <c r="M125" s="664"/>
      <c r="N125" s="37" t="s">
        <v>36</v>
      </c>
      <c r="O125" s="31">
        <v>1</v>
      </c>
      <c r="P125" s="31"/>
      <c r="Q125" s="32">
        <f t="shared" si="3"/>
        <v>1</v>
      </c>
    </row>
    <row r="126" spans="1:17" s="324" customFormat="1" ht="30" customHeight="1" x14ac:dyDescent="0.25">
      <c r="A126" s="323"/>
      <c r="B126" s="39" t="s">
        <v>711</v>
      </c>
      <c r="C126" s="46" t="s">
        <v>209</v>
      </c>
      <c r="D126" s="34" t="s">
        <v>528</v>
      </c>
      <c r="E126" s="35"/>
      <c r="F126" s="36"/>
      <c r="G126" s="36"/>
      <c r="H126" s="662" t="s">
        <v>527</v>
      </c>
      <c r="I126" s="663"/>
      <c r="J126" s="663"/>
      <c r="K126" s="663"/>
      <c r="L126" s="663"/>
      <c r="M126" s="664"/>
      <c r="N126" s="37" t="s">
        <v>36</v>
      </c>
      <c r="O126" s="31">
        <v>1</v>
      </c>
      <c r="P126" s="31"/>
      <c r="Q126" s="32">
        <f t="shared" si="3"/>
        <v>1</v>
      </c>
    </row>
    <row r="127" spans="1:17" s="324" customFormat="1" ht="30" customHeight="1" x14ac:dyDescent="0.25">
      <c r="A127" s="323"/>
      <c r="B127" s="39" t="s">
        <v>712</v>
      </c>
      <c r="C127" s="46" t="s">
        <v>31</v>
      </c>
      <c r="D127" s="34">
        <v>102109</v>
      </c>
      <c r="E127" s="35"/>
      <c r="F127" s="36"/>
      <c r="G127" s="36"/>
      <c r="H127" s="662" t="s">
        <v>529</v>
      </c>
      <c r="I127" s="663"/>
      <c r="J127" s="663"/>
      <c r="K127" s="663"/>
      <c r="L127" s="663"/>
      <c r="M127" s="664"/>
      <c r="N127" s="37" t="s">
        <v>36</v>
      </c>
      <c r="O127" s="31">
        <v>2</v>
      </c>
      <c r="P127" s="31"/>
      <c r="Q127" s="32">
        <f t="shared" si="3"/>
        <v>2</v>
      </c>
    </row>
    <row r="128" spans="1:17" s="324" customFormat="1" ht="30" customHeight="1" x14ac:dyDescent="0.25">
      <c r="A128" s="323"/>
      <c r="B128" s="39" t="s">
        <v>713</v>
      </c>
      <c r="C128" s="46" t="s">
        <v>209</v>
      </c>
      <c r="D128" s="34" t="s">
        <v>532</v>
      </c>
      <c r="E128" s="35"/>
      <c r="F128" s="36"/>
      <c r="G128" s="36"/>
      <c r="H128" s="662" t="s">
        <v>531</v>
      </c>
      <c r="I128" s="663"/>
      <c r="J128" s="663"/>
      <c r="K128" s="663"/>
      <c r="L128" s="663"/>
      <c r="M128" s="664"/>
      <c r="N128" s="37" t="s">
        <v>36</v>
      </c>
      <c r="O128" s="31">
        <v>1</v>
      </c>
      <c r="P128" s="31"/>
      <c r="Q128" s="32">
        <f t="shared" si="3"/>
        <v>1</v>
      </c>
    </row>
    <row r="129" spans="1:17" s="324" customFormat="1" ht="30" customHeight="1" x14ac:dyDescent="0.25">
      <c r="A129" s="323"/>
      <c r="B129" s="39" t="s">
        <v>714</v>
      </c>
      <c r="C129" s="46" t="s">
        <v>31</v>
      </c>
      <c r="D129" s="34">
        <v>97886</v>
      </c>
      <c r="E129" s="35"/>
      <c r="F129" s="36"/>
      <c r="G129" s="36"/>
      <c r="H129" s="662" t="s">
        <v>516</v>
      </c>
      <c r="I129" s="663"/>
      <c r="J129" s="663"/>
      <c r="K129" s="663"/>
      <c r="L129" s="663"/>
      <c r="M129" s="664"/>
      <c r="N129" s="37" t="s">
        <v>36</v>
      </c>
      <c r="O129" s="31">
        <v>7</v>
      </c>
      <c r="P129" s="31"/>
      <c r="Q129" s="32">
        <f t="shared" si="3"/>
        <v>7</v>
      </c>
    </row>
    <row r="130" spans="1:17" s="20" customFormat="1" ht="30" customHeight="1" x14ac:dyDescent="0.25">
      <c r="A130" s="89"/>
      <c r="B130" s="33" t="s">
        <v>715</v>
      </c>
      <c r="C130" s="46"/>
      <c r="D130" s="34"/>
      <c r="E130" s="35"/>
      <c r="F130" s="36"/>
      <c r="G130" s="28" t="s">
        <v>285</v>
      </c>
      <c r="H130" s="81"/>
      <c r="I130" s="82"/>
      <c r="J130" s="82"/>
      <c r="K130" s="82"/>
      <c r="L130" s="82"/>
      <c r="M130" s="83"/>
      <c r="N130" s="37"/>
      <c r="O130" s="31"/>
      <c r="P130" s="31"/>
      <c r="Q130" s="32">
        <f t="shared" si="3"/>
        <v>0</v>
      </c>
    </row>
    <row r="131" spans="1:17" s="324" customFormat="1" ht="30" customHeight="1" x14ac:dyDescent="0.25">
      <c r="A131" s="323"/>
      <c r="B131" s="39" t="s">
        <v>716</v>
      </c>
      <c r="C131" s="46" t="s">
        <v>209</v>
      </c>
      <c r="D131" s="34" t="s">
        <v>287</v>
      </c>
      <c r="E131" s="35"/>
      <c r="F131" s="36"/>
      <c r="G131" s="36"/>
      <c r="H131" s="662" t="s">
        <v>513</v>
      </c>
      <c r="I131" s="663"/>
      <c r="J131" s="663"/>
      <c r="K131" s="663"/>
      <c r="L131" s="663"/>
      <c r="M131" s="664"/>
      <c r="N131" s="37" t="s">
        <v>36</v>
      </c>
      <c r="O131" s="31">
        <v>813</v>
      </c>
      <c r="P131" s="31"/>
      <c r="Q131" s="32">
        <f t="shared" si="3"/>
        <v>813</v>
      </c>
    </row>
    <row r="132" spans="1:17" s="324" customFormat="1" ht="30" customHeight="1" x14ac:dyDescent="0.25">
      <c r="A132" s="323"/>
      <c r="B132" s="39" t="s">
        <v>717</v>
      </c>
      <c r="C132" s="46" t="s">
        <v>209</v>
      </c>
      <c r="D132" s="34" t="s">
        <v>515</v>
      </c>
      <c r="E132" s="35"/>
      <c r="F132" s="36"/>
      <c r="G132" s="36" t="s">
        <v>286</v>
      </c>
      <c r="H132" s="662" t="s">
        <v>514</v>
      </c>
      <c r="I132" s="663"/>
      <c r="J132" s="663"/>
      <c r="K132" s="663"/>
      <c r="L132" s="663"/>
      <c r="M132" s="664"/>
      <c r="N132" s="37" t="s">
        <v>36</v>
      </c>
      <c r="O132" s="31">
        <v>91</v>
      </c>
      <c r="P132" s="31"/>
      <c r="Q132" s="32">
        <f t="shared" si="3"/>
        <v>91</v>
      </c>
    </row>
    <row r="133" spans="1:17" s="20" customFormat="1" ht="30" customHeight="1" x14ac:dyDescent="0.25">
      <c r="A133" s="88"/>
      <c r="B133" s="33">
        <v>0</v>
      </c>
      <c r="C133" s="41"/>
      <c r="D133" s="45"/>
      <c r="E133" s="27"/>
      <c r="F133" s="28"/>
      <c r="G133" s="43"/>
      <c r="H133" s="28"/>
      <c r="I133" s="28"/>
      <c r="J133" s="28"/>
      <c r="K133" s="28"/>
      <c r="L133" s="43"/>
      <c r="M133" s="29"/>
      <c r="N133" s="30"/>
      <c r="O133" s="31"/>
      <c r="P133" s="31"/>
      <c r="Q133" s="32">
        <f t="shared" si="3"/>
        <v>0</v>
      </c>
    </row>
    <row r="134" spans="1:17" s="20" customFormat="1" ht="30" customHeight="1" x14ac:dyDescent="0.25">
      <c r="A134" s="88"/>
      <c r="B134" s="24">
        <v>6</v>
      </c>
      <c r="C134" s="25"/>
      <c r="D134" s="44"/>
      <c r="E134" s="27"/>
      <c r="F134" s="28" t="s">
        <v>289</v>
      </c>
      <c r="G134" s="28"/>
      <c r="H134" s="28"/>
      <c r="I134" s="28"/>
      <c r="J134" s="28"/>
      <c r="K134" s="28"/>
      <c r="L134" s="28"/>
      <c r="M134" s="29"/>
      <c r="N134" s="30"/>
      <c r="O134" s="31"/>
      <c r="P134" s="31"/>
      <c r="Q134" s="32">
        <f t="shared" si="3"/>
        <v>0</v>
      </c>
    </row>
    <row r="135" spans="1:17" s="20" customFormat="1" ht="30" customHeight="1" x14ac:dyDescent="0.25">
      <c r="A135" s="89"/>
      <c r="B135" s="33" t="s">
        <v>625</v>
      </c>
      <c r="C135" s="46"/>
      <c r="D135" s="34"/>
      <c r="E135" s="35"/>
      <c r="F135" s="36"/>
      <c r="G135" s="28" t="s">
        <v>245</v>
      </c>
      <c r="H135" s="81"/>
      <c r="I135" s="82"/>
      <c r="J135" s="82"/>
      <c r="K135" s="82"/>
      <c r="L135" s="82"/>
      <c r="M135" s="83"/>
      <c r="N135" s="37"/>
      <c r="O135" s="31"/>
      <c r="P135" s="31"/>
      <c r="Q135" s="32">
        <f t="shared" ref="Q135:Q158" si="4">+SUM(O135:P135)</f>
        <v>0</v>
      </c>
    </row>
    <row r="136" spans="1:17" s="324" customFormat="1" ht="30" customHeight="1" x14ac:dyDescent="0.25">
      <c r="A136" s="323"/>
      <c r="B136" s="39" t="s">
        <v>626</v>
      </c>
      <c r="C136" s="46" t="s">
        <v>31</v>
      </c>
      <c r="D136" s="34">
        <v>95746</v>
      </c>
      <c r="E136" s="35"/>
      <c r="F136" s="36"/>
      <c r="G136" s="36"/>
      <c r="H136" s="662" t="s">
        <v>499</v>
      </c>
      <c r="I136" s="662"/>
      <c r="J136" s="662"/>
      <c r="K136" s="662"/>
      <c r="L136" s="662"/>
      <c r="M136" s="668"/>
      <c r="N136" s="37" t="s">
        <v>35</v>
      </c>
      <c r="O136" s="31">
        <v>1474.9</v>
      </c>
      <c r="P136" s="31"/>
      <c r="Q136" s="32">
        <f t="shared" si="4"/>
        <v>1474.9</v>
      </c>
    </row>
    <row r="137" spans="1:17" s="20" customFormat="1" ht="30" customHeight="1" x14ac:dyDescent="0.25">
      <c r="A137" s="89"/>
      <c r="B137" s="39" t="s">
        <v>627</v>
      </c>
      <c r="C137" s="46" t="s">
        <v>212</v>
      </c>
      <c r="D137" s="34" t="s">
        <v>273</v>
      </c>
      <c r="E137" s="35"/>
      <c r="F137" s="36"/>
      <c r="G137" s="36"/>
      <c r="H137" s="662" t="s">
        <v>272</v>
      </c>
      <c r="I137" s="662"/>
      <c r="J137" s="662"/>
      <c r="K137" s="662"/>
      <c r="L137" s="662"/>
      <c r="M137" s="668"/>
      <c r="N137" s="37" t="s">
        <v>35</v>
      </c>
      <c r="O137" s="31">
        <v>677.4</v>
      </c>
      <c r="P137" s="31"/>
      <c r="Q137" s="32">
        <f t="shared" si="4"/>
        <v>677.4</v>
      </c>
    </row>
    <row r="138" spans="1:17" s="324" customFormat="1" ht="30" customHeight="1" x14ac:dyDescent="0.25">
      <c r="A138" s="323"/>
      <c r="B138" s="39" t="s">
        <v>628</v>
      </c>
      <c r="C138" s="46" t="s">
        <v>212</v>
      </c>
      <c r="D138" s="34" t="s">
        <v>486</v>
      </c>
      <c r="E138" s="35"/>
      <c r="F138" s="36"/>
      <c r="G138" s="36"/>
      <c r="H138" s="662" t="s">
        <v>485</v>
      </c>
      <c r="I138" s="662"/>
      <c r="J138" s="662"/>
      <c r="K138" s="662"/>
      <c r="L138" s="662"/>
      <c r="M138" s="668"/>
      <c r="N138" s="37" t="s">
        <v>35</v>
      </c>
      <c r="O138" s="31"/>
      <c r="P138" s="31"/>
      <c r="Q138" s="32">
        <f t="shared" si="4"/>
        <v>0</v>
      </c>
    </row>
    <row r="139" spans="1:17" s="20" customFormat="1" ht="30" customHeight="1" x14ac:dyDescent="0.25">
      <c r="A139" s="89"/>
      <c r="B139" s="39" t="s">
        <v>672</v>
      </c>
      <c r="C139" s="46" t="s">
        <v>209</v>
      </c>
      <c r="D139" s="34" t="s">
        <v>512</v>
      </c>
      <c r="E139" s="35"/>
      <c r="F139" s="36"/>
      <c r="G139" s="36"/>
      <c r="H139" s="662" t="s">
        <v>511</v>
      </c>
      <c r="I139" s="662"/>
      <c r="J139" s="662"/>
      <c r="K139" s="662"/>
      <c r="L139" s="662"/>
      <c r="M139" s="668"/>
      <c r="N139" s="37" t="s">
        <v>35</v>
      </c>
      <c r="O139" s="31">
        <v>339.1</v>
      </c>
      <c r="P139" s="31"/>
      <c r="Q139" s="32">
        <f>+SUM(O139:P139)</f>
        <v>339.1</v>
      </c>
    </row>
    <row r="140" spans="1:17" s="20" customFormat="1" ht="30" customHeight="1" x14ac:dyDescent="0.25">
      <c r="A140" s="89"/>
      <c r="B140" s="33" t="s">
        <v>629</v>
      </c>
      <c r="C140" s="46"/>
      <c r="D140" s="34"/>
      <c r="E140" s="35"/>
      <c r="F140" s="36"/>
      <c r="G140" s="28" t="s">
        <v>247</v>
      </c>
      <c r="H140" s="81"/>
      <c r="I140" s="82"/>
      <c r="J140" s="82"/>
      <c r="K140" s="82"/>
      <c r="L140" s="82"/>
      <c r="M140" s="83"/>
      <c r="N140" s="37"/>
      <c r="O140" s="31"/>
      <c r="P140" s="31"/>
      <c r="Q140" s="32">
        <f t="shared" si="4"/>
        <v>0</v>
      </c>
    </row>
    <row r="141" spans="1:17" s="20" customFormat="1" ht="30" customHeight="1" x14ac:dyDescent="0.25">
      <c r="A141" s="89"/>
      <c r="B141" s="39" t="s">
        <v>630</v>
      </c>
      <c r="C141" s="46" t="s">
        <v>31</v>
      </c>
      <c r="D141" s="34">
        <v>98297</v>
      </c>
      <c r="E141" s="35"/>
      <c r="F141" s="36"/>
      <c r="G141" s="36"/>
      <c r="H141" s="662" t="s">
        <v>533</v>
      </c>
      <c r="I141" s="663"/>
      <c r="J141" s="663"/>
      <c r="K141" s="663"/>
      <c r="L141" s="663"/>
      <c r="M141" s="664"/>
      <c r="N141" s="37" t="s">
        <v>35</v>
      </c>
      <c r="O141" s="31">
        <v>17188</v>
      </c>
      <c r="P141" s="31"/>
      <c r="Q141" s="32">
        <f t="shared" si="4"/>
        <v>17188</v>
      </c>
    </row>
    <row r="142" spans="1:17" s="20" customFormat="1" ht="30" customHeight="1" x14ac:dyDescent="0.25">
      <c r="A142" s="89"/>
      <c r="B142" s="39" t="s">
        <v>631</v>
      </c>
      <c r="C142" s="46" t="s">
        <v>212</v>
      </c>
      <c r="D142" s="34" t="s">
        <v>535</v>
      </c>
      <c r="E142" s="35"/>
      <c r="F142" s="36"/>
      <c r="G142" s="36"/>
      <c r="H142" s="662" t="s">
        <v>534</v>
      </c>
      <c r="I142" s="663"/>
      <c r="J142" s="663"/>
      <c r="K142" s="663"/>
      <c r="L142" s="663"/>
      <c r="M142" s="664"/>
      <c r="N142" s="37" t="s">
        <v>35</v>
      </c>
      <c r="O142" s="31">
        <v>500</v>
      </c>
      <c r="P142" s="31"/>
      <c r="Q142" s="32">
        <f>+SUM(O142:P142)</f>
        <v>500</v>
      </c>
    </row>
    <row r="143" spans="1:17" s="20" customFormat="1" ht="30" customHeight="1" x14ac:dyDescent="0.25">
      <c r="A143" s="89"/>
      <c r="B143" s="33" t="s">
        <v>632</v>
      </c>
      <c r="C143" s="46"/>
      <c r="D143" s="34"/>
      <c r="E143" s="35"/>
      <c r="F143" s="36"/>
      <c r="G143" s="28" t="s">
        <v>246</v>
      </c>
      <c r="H143" s="81"/>
      <c r="I143" s="82"/>
      <c r="J143" s="82"/>
      <c r="K143" s="82"/>
      <c r="L143" s="82"/>
      <c r="M143" s="83"/>
      <c r="N143" s="37"/>
      <c r="O143" s="31"/>
      <c r="P143" s="31"/>
      <c r="Q143" s="32">
        <f t="shared" si="4"/>
        <v>0</v>
      </c>
    </row>
    <row r="144" spans="1:17" s="20" customFormat="1" ht="30" customHeight="1" x14ac:dyDescent="0.25">
      <c r="A144" s="89"/>
      <c r="B144" s="39" t="s">
        <v>633</v>
      </c>
      <c r="C144" s="46" t="s">
        <v>31</v>
      </c>
      <c r="D144" s="34">
        <v>98307</v>
      </c>
      <c r="E144" s="35"/>
      <c r="F144" s="36"/>
      <c r="G144" s="36"/>
      <c r="H144" s="662" t="s">
        <v>540</v>
      </c>
      <c r="I144" s="663"/>
      <c r="J144" s="663"/>
      <c r="K144" s="663"/>
      <c r="L144" s="663"/>
      <c r="M144" s="664"/>
      <c r="N144" s="37" t="s">
        <v>36</v>
      </c>
      <c r="O144" s="31">
        <v>14</v>
      </c>
      <c r="P144" s="31"/>
      <c r="Q144" s="32">
        <f t="shared" si="4"/>
        <v>14</v>
      </c>
    </row>
    <row r="145" spans="1:17" s="20" customFormat="1" ht="30" customHeight="1" x14ac:dyDescent="0.25">
      <c r="A145" s="89"/>
      <c r="B145" s="39" t="s">
        <v>634</v>
      </c>
      <c r="C145" s="46" t="s">
        <v>209</v>
      </c>
      <c r="D145" s="34" t="s">
        <v>542</v>
      </c>
      <c r="E145" s="35"/>
      <c r="F145" s="36"/>
      <c r="G145" s="36"/>
      <c r="H145" s="662" t="s">
        <v>541</v>
      </c>
      <c r="I145" s="663"/>
      <c r="J145" s="663"/>
      <c r="K145" s="663"/>
      <c r="L145" s="663"/>
      <c r="M145" s="664"/>
      <c r="N145" s="37" t="s">
        <v>36</v>
      </c>
      <c r="O145" s="31">
        <v>17</v>
      </c>
      <c r="P145" s="31"/>
      <c r="Q145" s="32">
        <f>+SUM(O145:P145)</f>
        <v>17</v>
      </c>
    </row>
    <row r="146" spans="1:17" s="20" customFormat="1" ht="30" customHeight="1" x14ac:dyDescent="0.25">
      <c r="A146" s="89"/>
      <c r="B146" s="39" t="s">
        <v>635</v>
      </c>
      <c r="C146" s="46" t="s">
        <v>209</v>
      </c>
      <c r="D146" s="34" t="s">
        <v>539</v>
      </c>
      <c r="E146" s="35"/>
      <c r="F146" s="36"/>
      <c r="G146" s="36"/>
      <c r="H146" s="662" t="s">
        <v>538</v>
      </c>
      <c r="I146" s="663"/>
      <c r="J146" s="663"/>
      <c r="K146" s="663"/>
      <c r="L146" s="663"/>
      <c r="M146" s="664"/>
      <c r="N146" s="37" t="s">
        <v>36</v>
      </c>
      <c r="O146" s="31">
        <v>718</v>
      </c>
      <c r="P146" s="31"/>
      <c r="Q146" s="32">
        <f t="shared" si="4"/>
        <v>718</v>
      </c>
    </row>
    <row r="147" spans="1:17" s="324" customFormat="1" ht="30" customHeight="1" x14ac:dyDescent="0.25">
      <c r="A147" s="323"/>
      <c r="B147" s="39" t="s">
        <v>636</v>
      </c>
      <c r="C147" s="46" t="s">
        <v>212</v>
      </c>
      <c r="D147" s="34" t="s">
        <v>282</v>
      </c>
      <c r="E147" s="35"/>
      <c r="F147" s="36"/>
      <c r="G147" s="36"/>
      <c r="H147" s="662" t="s">
        <v>281</v>
      </c>
      <c r="I147" s="662"/>
      <c r="J147" s="662"/>
      <c r="K147" s="662"/>
      <c r="L147" s="662"/>
      <c r="M147" s="668"/>
      <c r="N147" s="37" t="s">
        <v>36</v>
      </c>
      <c r="O147" s="31">
        <v>1</v>
      </c>
      <c r="P147" s="31"/>
      <c r="Q147" s="32">
        <f t="shared" si="4"/>
        <v>1</v>
      </c>
    </row>
    <row r="148" spans="1:17" s="324" customFormat="1" ht="30" customHeight="1" x14ac:dyDescent="0.25">
      <c r="A148" s="323"/>
      <c r="B148" s="39" t="s">
        <v>637</v>
      </c>
      <c r="C148" s="46" t="s">
        <v>209</v>
      </c>
      <c r="D148" s="34" t="s">
        <v>441</v>
      </c>
      <c r="E148" s="35"/>
      <c r="F148" s="36"/>
      <c r="G148" s="36"/>
      <c r="H148" s="662" t="s">
        <v>440</v>
      </c>
      <c r="I148" s="662"/>
      <c r="J148" s="662"/>
      <c r="K148" s="662"/>
      <c r="L148" s="662"/>
      <c r="M148" s="668"/>
      <c r="N148" s="37" t="s">
        <v>36</v>
      </c>
      <c r="O148" s="31">
        <v>48</v>
      </c>
      <c r="P148" s="31"/>
      <c r="Q148" s="32">
        <f t="shared" ref="Q148:Q154" si="5">+SUM(O148:P148)</f>
        <v>48</v>
      </c>
    </row>
    <row r="149" spans="1:17" s="324" customFormat="1" ht="30" customHeight="1" x14ac:dyDescent="0.25">
      <c r="A149" s="323"/>
      <c r="B149" s="39" t="s">
        <v>638</v>
      </c>
      <c r="C149" s="46" t="s">
        <v>209</v>
      </c>
      <c r="D149" s="34" t="s">
        <v>442</v>
      </c>
      <c r="E149" s="35"/>
      <c r="F149" s="36"/>
      <c r="G149" s="36"/>
      <c r="H149" s="662" t="s">
        <v>443</v>
      </c>
      <c r="I149" s="662"/>
      <c r="J149" s="662"/>
      <c r="K149" s="662"/>
      <c r="L149" s="662"/>
      <c r="M149" s="668"/>
      <c r="N149" s="37" t="s">
        <v>36</v>
      </c>
      <c r="O149" s="31">
        <f>414+26</f>
        <v>440</v>
      </c>
      <c r="P149" s="31"/>
      <c r="Q149" s="32">
        <f t="shared" si="5"/>
        <v>440</v>
      </c>
    </row>
    <row r="150" spans="1:17" s="324" customFormat="1" ht="30" customHeight="1" x14ac:dyDescent="0.25">
      <c r="A150" s="323"/>
      <c r="B150" s="39" t="s">
        <v>639</v>
      </c>
      <c r="C150" s="46" t="s">
        <v>209</v>
      </c>
      <c r="D150" s="34" t="s">
        <v>445</v>
      </c>
      <c r="E150" s="35"/>
      <c r="F150" s="36"/>
      <c r="G150" s="36"/>
      <c r="H150" s="662" t="s">
        <v>444</v>
      </c>
      <c r="I150" s="662"/>
      <c r="J150" s="662"/>
      <c r="K150" s="662"/>
      <c r="L150" s="662"/>
      <c r="M150" s="668"/>
      <c r="N150" s="37" t="s">
        <v>35</v>
      </c>
      <c r="O150" s="31">
        <f>+O137</f>
        <v>677.4</v>
      </c>
      <c r="P150" s="31"/>
      <c r="Q150" s="32">
        <f t="shared" si="5"/>
        <v>677.4</v>
      </c>
    </row>
    <row r="151" spans="1:17" s="324" customFormat="1" ht="30" customHeight="1" x14ac:dyDescent="0.25">
      <c r="A151" s="323"/>
      <c r="B151" s="39" t="s">
        <v>640</v>
      </c>
      <c r="C151" s="46" t="s">
        <v>209</v>
      </c>
      <c r="D151" s="34" t="s">
        <v>494</v>
      </c>
      <c r="E151" s="35"/>
      <c r="F151" s="36"/>
      <c r="G151" s="36"/>
      <c r="H151" s="662" t="s">
        <v>493</v>
      </c>
      <c r="I151" s="663"/>
      <c r="J151" s="663"/>
      <c r="K151" s="663"/>
      <c r="L151" s="663"/>
      <c r="M151" s="664"/>
      <c r="N151" s="37" t="s">
        <v>36</v>
      </c>
      <c r="O151" s="31"/>
      <c r="P151" s="31"/>
      <c r="Q151" s="32">
        <f t="shared" si="5"/>
        <v>0</v>
      </c>
    </row>
    <row r="152" spans="1:17" s="324" customFormat="1" ht="30" customHeight="1" x14ac:dyDescent="0.25">
      <c r="A152" s="323"/>
      <c r="B152" s="39" t="s">
        <v>641</v>
      </c>
      <c r="C152" s="46" t="s">
        <v>209</v>
      </c>
      <c r="D152" s="34" t="s">
        <v>498</v>
      </c>
      <c r="E152" s="35"/>
      <c r="F152" s="36"/>
      <c r="G152" s="36"/>
      <c r="H152" s="662" t="s">
        <v>497</v>
      </c>
      <c r="I152" s="663"/>
      <c r="J152" s="663"/>
      <c r="K152" s="663"/>
      <c r="L152" s="663"/>
      <c r="M152" s="664"/>
      <c r="N152" s="37" t="s">
        <v>36</v>
      </c>
      <c r="O152" s="31"/>
      <c r="P152" s="31"/>
      <c r="Q152" s="32">
        <f t="shared" si="5"/>
        <v>0</v>
      </c>
    </row>
    <row r="153" spans="1:17" s="324" customFormat="1" ht="30" customHeight="1" x14ac:dyDescent="0.25">
      <c r="A153" s="323"/>
      <c r="B153" s="39" t="s">
        <v>642</v>
      </c>
      <c r="C153" s="46" t="s">
        <v>209</v>
      </c>
      <c r="D153" s="34" t="s">
        <v>491</v>
      </c>
      <c r="E153" s="35"/>
      <c r="F153" s="36"/>
      <c r="G153" s="36"/>
      <c r="H153" s="662" t="s">
        <v>492</v>
      </c>
      <c r="I153" s="663"/>
      <c r="J153" s="663"/>
      <c r="K153" s="663"/>
      <c r="L153" s="663"/>
      <c r="M153" s="664"/>
      <c r="N153" s="37" t="s">
        <v>36</v>
      </c>
      <c r="O153" s="31"/>
      <c r="P153" s="31"/>
      <c r="Q153" s="32">
        <f t="shared" si="5"/>
        <v>0</v>
      </c>
    </row>
    <row r="154" spans="1:17" s="324" customFormat="1" ht="30" customHeight="1" x14ac:dyDescent="0.25">
      <c r="A154" s="323"/>
      <c r="B154" s="39" t="s">
        <v>643</v>
      </c>
      <c r="C154" s="46" t="s">
        <v>212</v>
      </c>
      <c r="D154" s="34" t="s">
        <v>284</v>
      </c>
      <c r="E154" s="35"/>
      <c r="F154" s="36"/>
      <c r="G154" s="36"/>
      <c r="H154" s="662" t="s">
        <v>283</v>
      </c>
      <c r="I154" s="663"/>
      <c r="J154" s="663"/>
      <c r="K154" s="663"/>
      <c r="L154" s="663"/>
      <c r="M154" s="664"/>
      <c r="N154" s="37" t="s">
        <v>36</v>
      </c>
      <c r="O154" s="31">
        <v>177</v>
      </c>
      <c r="P154" s="31"/>
      <c r="Q154" s="32">
        <f t="shared" si="5"/>
        <v>177</v>
      </c>
    </row>
    <row r="155" spans="1:17" s="324" customFormat="1" ht="30" customHeight="1" x14ac:dyDescent="0.25">
      <c r="A155" s="323"/>
      <c r="B155" s="39" t="s">
        <v>644</v>
      </c>
      <c r="C155" s="46" t="s">
        <v>31</v>
      </c>
      <c r="D155" s="34">
        <v>91940</v>
      </c>
      <c r="E155" s="35"/>
      <c r="F155" s="36"/>
      <c r="G155" s="36"/>
      <c r="H155" s="662" t="s">
        <v>279</v>
      </c>
      <c r="I155" s="663"/>
      <c r="J155" s="663"/>
      <c r="K155" s="663"/>
      <c r="L155" s="663"/>
      <c r="M155" s="664"/>
      <c r="N155" s="37" t="s">
        <v>36</v>
      </c>
      <c r="O155" s="31">
        <v>31</v>
      </c>
      <c r="P155" s="31"/>
      <c r="Q155" s="32">
        <v>591</v>
      </c>
    </row>
    <row r="156" spans="1:17" s="324" customFormat="1" ht="30" customHeight="1" x14ac:dyDescent="0.25">
      <c r="A156" s="323"/>
      <c r="B156" s="39" t="s">
        <v>645</v>
      </c>
      <c r="C156" s="46" t="s">
        <v>31</v>
      </c>
      <c r="D156" s="34">
        <v>95817</v>
      </c>
      <c r="E156" s="35"/>
      <c r="F156" s="36"/>
      <c r="G156" s="36"/>
      <c r="H156" s="662" t="s">
        <v>446</v>
      </c>
      <c r="I156" s="663"/>
      <c r="J156" s="663"/>
      <c r="K156" s="663"/>
      <c r="L156" s="663"/>
      <c r="M156" s="664"/>
      <c r="N156" s="37" t="s">
        <v>36</v>
      </c>
      <c r="O156" s="31">
        <v>4</v>
      </c>
      <c r="P156" s="31"/>
      <c r="Q156" s="32">
        <v>6</v>
      </c>
    </row>
    <row r="157" spans="1:17" s="20" customFormat="1" ht="30" customHeight="1" x14ac:dyDescent="0.25">
      <c r="A157" s="89"/>
      <c r="B157" s="39" t="s">
        <v>646</v>
      </c>
      <c r="C157" s="46" t="s">
        <v>31</v>
      </c>
      <c r="D157" s="34">
        <v>95789</v>
      </c>
      <c r="E157" s="35"/>
      <c r="F157" s="36"/>
      <c r="G157" s="36"/>
      <c r="H157" s="662" t="s">
        <v>536</v>
      </c>
      <c r="I157" s="663"/>
      <c r="J157" s="663"/>
      <c r="K157" s="663"/>
      <c r="L157" s="663"/>
      <c r="M157" s="664"/>
      <c r="N157" s="37" t="s">
        <v>36</v>
      </c>
      <c r="O157" s="31">
        <v>22</v>
      </c>
      <c r="P157" s="31"/>
      <c r="Q157" s="32">
        <f t="shared" si="4"/>
        <v>22</v>
      </c>
    </row>
    <row r="158" spans="1:17" s="20" customFormat="1" ht="30" customHeight="1" x14ac:dyDescent="0.25">
      <c r="A158" s="89"/>
      <c r="B158" s="39" t="s">
        <v>647</v>
      </c>
      <c r="C158" s="46" t="s">
        <v>31</v>
      </c>
      <c r="D158" s="34">
        <v>95796</v>
      </c>
      <c r="E158" s="35"/>
      <c r="F158" s="36"/>
      <c r="G158" s="36"/>
      <c r="H158" s="662" t="s">
        <v>537</v>
      </c>
      <c r="I158" s="663"/>
      <c r="J158" s="663"/>
      <c r="K158" s="663"/>
      <c r="L158" s="663"/>
      <c r="M158" s="664"/>
      <c r="N158" s="37" t="s">
        <v>36</v>
      </c>
      <c r="O158" s="31">
        <v>6</v>
      </c>
      <c r="P158" s="31"/>
      <c r="Q158" s="32">
        <f t="shared" si="4"/>
        <v>6</v>
      </c>
    </row>
    <row r="159" spans="1:17" s="324" customFormat="1" ht="30" customHeight="1" x14ac:dyDescent="0.25">
      <c r="A159" s="323"/>
      <c r="B159" s="39" t="s">
        <v>648</v>
      </c>
      <c r="C159" s="46" t="s">
        <v>209</v>
      </c>
      <c r="D159" s="34" t="s">
        <v>453</v>
      </c>
      <c r="E159" s="35"/>
      <c r="F159" s="36"/>
      <c r="G159" s="36"/>
      <c r="H159" s="662" t="s">
        <v>452</v>
      </c>
      <c r="I159" s="663"/>
      <c r="J159" s="663"/>
      <c r="K159" s="663"/>
      <c r="L159" s="663"/>
      <c r="M159" s="664"/>
      <c r="N159" s="37" t="s">
        <v>36</v>
      </c>
      <c r="O159" s="31">
        <v>820</v>
      </c>
      <c r="P159" s="31"/>
      <c r="Q159" s="32">
        <f t="shared" ref="Q159:Q183" si="6">+SUM(O159:P159)</f>
        <v>820</v>
      </c>
    </row>
    <row r="160" spans="1:17" s="324" customFormat="1" ht="30" customHeight="1" x14ac:dyDescent="0.25">
      <c r="A160" s="323"/>
      <c r="B160" s="39" t="s">
        <v>649</v>
      </c>
      <c r="C160" s="46" t="s">
        <v>209</v>
      </c>
      <c r="D160" s="34" t="s">
        <v>455</v>
      </c>
      <c r="E160" s="35"/>
      <c r="F160" s="36"/>
      <c r="G160" s="36"/>
      <c r="H160" s="662" t="s">
        <v>454</v>
      </c>
      <c r="I160" s="663"/>
      <c r="J160" s="663"/>
      <c r="K160" s="663"/>
      <c r="L160" s="663"/>
      <c r="M160" s="664"/>
      <c r="N160" s="37" t="s">
        <v>36</v>
      </c>
      <c r="O160" s="31">
        <v>2495</v>
      </c>
      <c r="P160" s="31"/>
      <c r="Q160" s="32">
        <f t="shared" si="6"/>
        <v>2495</v>
      </c>
    </row>
    <row r="161" spans="1:17" s="324" customFormat="1" ht="30" customHeight="1" x14ac:dyDescent="0.25">
      <c r="A161" s="323"/>
      <c r="B161" s="39" t="s">
        <v>650</v>
      </c>
      <c r="C161" s="46" t="s">
        <v>209</v>
      </c>
      <c r="D161" s="34" t="s">
        <v>461</v>
      </c>
      <c r="E161" s="35"/>
      <c r="F161" s="36"/>
      <c r="G161" s="36"/>
      <c r="H161" s="662" t="s">
        <v>460</v>
      </c>
      <c r="I161" s="663"/>
      <c r="J161" s="663"/>
      <c r="K161" s="663"/>
      <c r="L161" s="663"/>
      <c r="M161" s="664"/>
      <c r="N161" s="37" t="s">
        <v>36</v>
      </c>
      <c r="O161" s="31">
        <v>234</v>
      </c>
      <c r="P161" s="31"/>
      <c r="Q161" s="32">
        <f t="shared" si="6"/>
        <v>234</v>
      </c>
    </row>
    <row r="162" spans="1:17" s="324" customFormat="1" ht="30" customHeight="1" x14ac:dyDescent="0.25">
      <c r="A162" s="323"/>
      <c r="B162" s="39" t="s">
        <v>651</v>
      </c>
      <c r="C162" s="46" t="s">
        <v>209</v>
      </c>
      <c r="D162" s="34" t="s">
        <v>463</v>
      </c>
      <c r="E162" s="35"/>
      <c r="F162" s="36"/>
      <c r="G162" s="36"/>
      <c r="H162" s="662" t="s">
        <v>465</v>
      </c>
      <c r="I162" s="663"/>
      <c r="J162" s="663"/>
      <c r="K162" s="663"/>
      <c r="L162" s="663"/>
      <c r="M162" s="664"/>
      <c r="N162" s="37" t="s">
        <v>36</v>
      </c>
      <c r="O162" s="31">
        <v>120</v>
      </c>
      <c r="P162" s="31"/>
      <c r="Q162" s="32">
        <f t="shared" si="6"/>
        <v>120</v>
      </c>
    </row>
    <row r="163" spans="1:17" s="324" customFormat="1" ht="30" customHeight="1" x14ac:dyDescent="0.25">
      <c r="A163" s="323"/>
      <c r="B163" s="39" t="s">
        <v>652</v>
      </c>
      <c r="C163" s="46" t="s">
        <v>209</v>
      </c>
      <c r="D163" s="34" t="s">
        <v>470</v>
      </c>
      <c r="E163" s="35"/>
      <c r="F163" s="36"/>
      <c r="G163" s="36"/>
      <c r="H163" s="662" t="s">
        <v>473</v>
      </c>
      <c r="I163" s="663"/>
      <c r="J163" s="663"/>
      <c r="K163" s="663"/>
      <c r="L163" s="663"/>
      <c r="M163" s="664"/>
      <c r="N163" s="37" t="s">
        <v>36</v>
      </c>
      <c r="O163" s="31">
        <v>64</v>
      </c>
      <c r="P163" s="31"/>
      <c r="Q163" s="32">
        <f t="shared" si="6"/>
        <v>64</v>
      </c>
    </row>
    <row r="164" spans="1:17" s="324" customFormat="1" ht="30" customHeight="1" x14ac:dyDescent="0.25">
      <c r="A164" s="323"/>
      <c r="B164" s="39" t="s">
        <v>653</v>
      </c>
      <c r="C164" s="46" t="s">
        <v>31</v>
      </c>
      <c r="D164" s="34">
        <v>100556</v>
      </c>
      <c r="E164" s="35"/>
      <c r="F164" s="36"/>
      <c r="G164" s="36"/>
      <c r="H164" s="662" t="s">
        <v>543</v>
      </c>
      <c r="I164" s="663"/>
      <c r="J164" s="663"/>
      <c r="K164" s="663"/>
      <c r="L164" s="663"/>
      <c r="M164" s="664"/>
      <c r="N164" s="37" t="s">
        <v>36</v>
      </c>
      <c r="O164" s="31">
        <v>10</v>
      </c>
      <c r="P164" s="31"/>
      <c r="Q164" s="32">
        <f t="shared" si="6"/>
        <v>10</v>
      </c>
    </row>
    <row r="165" spans="1:17" s="324" customFormat="1" ht="30" customHeight="1" x14ac:dyDescent="0.25">
      <c r="A165" s="323"/>
      <c r="B165" s="39" t="s">
        <v>654</v>
      </c>
      <c r="C165" s="46" t="s">
        <v>209</v>
      </c>
      <c r="D165" s="34" t="s">
        <v>476</v>
      </c>
      <c r="E165" s="35"/>
      <c r="F165" s="36"/>
      <c r="G165" s="36"/>
      <c r="H165" s="662" t="s">
        <v>477</v>
      </c>
      <c r="I165" s="663"/>
      <c r="J165" s="663"/>
      <c r="K165" s="663"/>
      <c r="L165" s="663"/>
      <c r="M165" s="664"/>
      <c r="N165" s="37" t="s">
        <v>36</v>
      </c>
      <c r="O165" s="31">
        <v>1664</v>
      </c>
      <c r="P165" s="31"/>
      <c r="Q165" s="32">
        <f t="shared" si="6"/>
        <v>1664</v>
      </c>
    </row>
    <row r="166" spans="1:17" s="324" customFormat="1" ht="30" customHeight="1" x14ac:dyDescent="0.25">
      <c r="A166" s="323"/>
      <c r="B166" s="39" t="s">
        <v>655</v>
      </c>
      <c r="C166" s="46" t="s">
        <v>209</v>
      </c>
      <c r="D166" s="34" t="s">
        <v>479</v>
      </c>
      <c r="E166" s="35"/>
      <c r="F166" s="36"/>
      <c r="G166" s="36"/>
      <c r="H166" s="662" t="s">
        <v>478</v>
      </c>
      <c r="I166" s="663"/>
      <c r="J166" s="663"/>
      <c r="K166" s="663"/>
      <c r="L166" s="663"/>
      <c r="M166" s="664"/>
      <c r="N166" s="37" t="s">
        <v>36</v>
      </c>
      <c r="O166" s="31">
        <v>2487</v>
      </c>
      <c r="P166" s="31"/>
      <c r="Q166" s="32">
        <f t="shared" si="6"/>
        <v>2487</v>
      </c>
    </row>
    <row r="167" spans="1:17" s="324" customFormat="1" ht="30" customHeight="1" x14ac:dyDescent="0.25">
      <c r="A167" s="323"/>
      <c r="B167" s="39" t="s">
        <v>656</v>
      </c>
      <c r="C167" s="46" t="s">
        <v>209</v>
      </c>
      <c r="D167" s="34" t="s">
        <v>481</v>
      </c>
      <c r="E167" s="35"/>
      <c r="F167" s="36"/>
      <c r="G167" s="36"/>
      <c r="H167" s="662" t="s">
        <v>480</v>
      </c>
      <c r="I167" s="663"/>
      <c r="J167" s="663"/>
      <c r="K167" s="663"/>
      <c r="L167" s="663"/>
      <c r="M167" s="664"/>
      <c r="N167" s="37" t="s">
        <v>36</v>
      </c>
      <c r="O167" s="31">
        <v>820</v>
      </c>
      <c r="P167" s="31"/>
      <c r="Q167" s="32">
        <f t="shared" si="6"/>
        <v>820</v>
      </c>
    </row>
    <row r="168" spans="1:17" s="324" customFormat="1" ht="30" customHeight="1" x14ac:dyDescent="0.25">
      <c r="A168" s="323"/>
      <c r="B168" s="39" t="s">
        <v>657</v>
      </c>
      <c r="C168" s="46" t="s">
        <v>212</v>
      </c>
      <c r="D168" s="34" t="s">
        <v>467</v>
      </c>
      <c r="E168" s="35"/>
      <c r="F168" s="36"/>
      <c r="G168" s="36"/>
      <c r="H168" s="662" t="s">
        <v>466</v>
      </c>
      <c r="I168" s="663"/>
      <c r="J168" s="663"/>
      <c r="K168" s="663"/>
      <c r="L168" s="663"/>
      <c r="M168" s="664"/>
      <c r="N168" s="37" t="s">
        <v>35</v>
      </c>
      <c r="O168" s="31">
        <f>823*0.6</f>
        <v>493.79999999999995</v>
      </c>
      <c r="P168" s="31"/>
      <c r="Q168" s="32">
        <f t="shared" si="6"/>
        <v>493.79999999999995</v>
      </c>
    </row>
    <row r="169" spans="1:17" s="324" customFormat="1" ht="30" customHeight="1" x14ac:dyDescent="0.25">
      <c r="A169" s="323"/>
      <c r="B169" s="39" t="s">
        <v>658</v>
      </c>
      <c r="C169" s="46" t="s">
        <v>209</v>
      </c>
      <c r="D169" s="34" t="s">
        <v>510</v>
      </c>
      <c r="E169" s="35"/>
      <c r="F169" s="36"/>
      <c r="G169" s="36"/>
      <c r="H169" s="662" t="s">
        <v>509</v>
      </c>
      <c r="I169" s="663"/>
      <c r="J169" s="663"/>
      <c r="K169" s="663"/>
      <c r="L169" s="663"/>
      <c r="M169" s="664"/>
      <c r="N169" s="37" t="s">
        <v>36</v>
      </c>
      <c r="O169" s="31">
        <v>820</v>
      </c>
      <c r="P169" s="31"/>
      <c r="Q169" s="32">
        <f t="shared" si="6"/>
        <v>820</v>
      </c>
    </row>
    <row r="170" spans="1:17" s="324" customFormat="1" ht="30" customHeight="1" x14ac:dyDescent="0.25">
      <c r="A170" s="323"/>
      <c r="B170" s="39" t="s">
        <v>659</v>
      </c>
      <c r="C170" s="46" t="s">
        <v>212</v>
      </c>
      <c r="D170" s="34" t="s">
        <v>671</v>
      </c>
      <c r="E170" s="35"/>
      <c r="F170" s="36"/>
      <c r="G170" s="36"/>
      <c r="H170" s="662" t="s">
        <v>670</v>
      </c>
      <c r="I170" s="663"/>
      <c r="J170" s="663"/>
      <c r="K170" s="663"/>
      <c r="L170" s="663"/>
      <c r="M170" s="664"/>
      <c r="N170" s="37" t="s">
        <v>36</v>
      </c>
      <c r="O170" s="31">
        <v>1</v>
      </c>
      <c r="P170" s="31"/>
      <c r="Q170" s="32">
        <f t="shared" si="6"/>
        <v>1</v>
      </c>
    </row>
    <row r="171" spans="1:17" s="324" customFormat="1" ht="30" customHeight="1" x14ac:dyDescent="0.25">
      <c r="A171" s="323"/>
      <c r="B171" s="39" t="s">
        <v>660</v>
      </c>
      <c r="C171" s="46" t="s">
        <v>212</v>
      </c>
      <c r="D171" s="34" t="s">
        <v>547</v>
      </c>
      <c r="E171" s="35"/>
      <c r="F171" s="36"/>
      <c r="G171" s="36"/>
      <c r="H171" s="662" t="s">
        <v>546</v>
      </c>
      <c r="I171" s="663"/>
      <c r="J171" s="663"/>
      <c r="K171" s="663"/>
      <c r="L171" s="663"/>
      <c r="M171" s="664"/>
      <c r="N171" s="37" t="s">
        <v>36</v>
      </c>
      <c r="O171" s="31">
        <v>9</v>
      </c>
      <c r="P171" s="31"/>
      <c r="Q171" s="32">
        <f t="shared" si="6"/>
        <v>9</v>
      </c>
    </row>
    <row r="172" spans="1:17" s="324" customFormat="1" ht="30" customHeight="1" x14ac:dyDescent="0.25">
      <c r="A172" s="323"/>
      <c r="B172" s="39" t="s">
        <v>661</v>
      </c>
      <c r="C172" s="46" t="s">
        <v>212</v>
      </c>
      <c r="D172" s="34" t="s">
        <v>548</v>
      </c>
      <c r="E172" s="35"/>
      <c r="F172" s="36"/>
      <c r="G172" s="36"/>
      <c r="H172" s="662" t="s">
        <v>549</v>
      </c>
      <c r="I172" s="663"/>
      <c r="J172" s="663"/>
      <c r="K172" s="663"/>
      <c r="L172" s="663"/>
      <c r="M172" s="664"/>
      <c r="N172" s="37" t="s">
        <v>36</v>
      </c>
      <c r="O172" s="31">
        <v>1</v>
      </c>
      <c r="P172" s="31"/>
      <c r="Q172" s="32">
        <f t="shared" si="6"/>
        <v>1</v>
      </c>
    </row>
    <row r="173" spans="1:17" s="324" customFormat="1" ht="30" customHeight="1" x14ac:dyDescent="0.25">
      <c r="A173" s="323"/>
      <c r="B173" s="39" t="s">
        <v>662</v>
      </c>
      <c r="C173" s="46" t="s">
        <v>209</v>
      </c>
      <c r="D173" s="34" t="s">
        <v>545</v>
      </c>
      <c r="E173" s="35"/>
      <c r="F173" s="36"/>
      <c r="G173" s="36"/>
      <c r="H173" s="662" t="s">
        <v>544</v>
      </c>
      <c r="I173" s="663"/>
      <c r="J173" s="663"/>
      <c r="K173" s="663"/>
      <c r="L173" s="663"/>
      <c r="M173" s="664"/>
      <c r="N173" s="37" t="s">
        <v>36</v>
      </c>
      <c r="O173" s="31">
        <v>4</v>
      </c>
      <c r="P173" s="31"/>
      <c r="Q173" s="32">
        <f t="shared" si="6"/>
        <v>4</v>
      </c>
    </row>
    <row r="174" spans="1:17" s="324" customFormat="1" ht="30" customHeight="1" x14ac:dyDescent="0.25">
      <c r="A174" s="323"/>
      <c r="B174" s="39" t="s">
        <v>663</v>
      </c>
      <c r="C174" s="46" t="s">
        <v>209</v>
      </c>
      <c r="D174" s="34" t="s">
        <v>551</v>
      </c>
      <c r="E174" s="35"/>
      <c r="F174" s="36"/>
      <c r="G174" s="36"/>
      <c r="H174" s="662" t="s">
        <v>550</v>
      </c>
      <c r="I174" s="663"/>
      <c r="J174" s="663"/>
      <c r="K174" s="663"/>
      <c r="L174" s="663"/>
      <c r="M174" s="664"/>
      <c r="N174" s="37" t="s">
        <v>36</v>
      </c>
      <c r="O174" s="31">
        <f>SUM(O170:O173)</f>
        <v>15</v>
      </c>
      <c r="P174" s="31"/>
      <c r="Q174" s="32">
        <f t="shared" si="6"/>
        <v>15</v>
      </c>
    </row>
    <row r="175" spans="1:17" s="324" customFormat="1" ht="30" customHeight="1" x14ac:dyDescent="0.25">
      <c r="A175" s="323"/>
      <c r="B175" s="39" t="s">
        <v>664</v>
      </c>
      <c r="C175" s="46" t="s">
        <v>212</v>
      </c>
      <c r="D175" s="34" t="s">
        <v>553</v>
      </c>
      <c r="E175" s="35"/>
      <c r="F175" s="36"/>
      <c r="G175" s="36"/>
      <c r="H175" s="662" t="s">
        <v>552</v>
      </c>
      <c r="I175" s="663"/>
      <c r="J175" s="663"/>
      <c r="K175" s="663"/>
      <c r="L175" s="663"/>
      <c r="M175" s="664"/>
      <c r="N175" s="37" t="s">
        <v>36</v>
      </c>
      <c r="O175" s="31">
        <f>+O174</f>
        <v>15</v>
      </c>
      <c r="P175" s="31"/>
      <c r="Q175" s="32">
        <f t="shared" si="6"/>
        <v>15</v>
      </c>
    </row>
    <row r="176" spans="1:17" s="324" customFormat="1" ht="30" customHeight="1" x14ac:dyDescent="0.25">
      <c r="A176" s="323"/>
      <c r="B176" s="39" t="s">
        <v>665</v>
      </c>
      <c r="C176" s="46" t="s">
        <v>212</v>
      </c>
      <c r="D176" s="34" t="s">
        <v>555</v>
      </c>
      <c r="E176" s="35"/>
      <c r="F176" s="36"/>
      <c r="G176" s="36"/>
      <c r="H176" s="662" t="s">
        <v>554</v>
      </c>
      <c r="I176" s="663"/>
      <c r="J176" s="663"/>
      <c r="K176" s="663"/>
      <c r="L176" s="663"/>
      <c r="M176" s="664"/>
      <c r="N176" s="37" t="s">
        <v>36</v>
      </c>
      <c r="O176" s="31">
        <f>+O170*12+O171*8+O172*4+O173*3</f>
        <v>100</v>
      </c>
      <c r="P176" s="31"/>
      <c r="Q176" s="32">
        <f t="shared" si="6"/>
        <v>100</v>
      </c>
    </row>
    <row r="177" spans="1:17" s="324" customFormat="1" ht="30" customHeight="1" x14ac:dyDescent="0.25">
      <c r="A177" s="323"/>
      <c r="B177" s="39" t="s">
        <v>666</v>
      </c>
      <c r="C177" s="46" t="s">
        <v>31</v>
      </c>
      <c r="D177" s="34">
        <v>98302</v>
      </c>
      <c r="E177" s="35"/>
      <c r="F177" s="36"/>
      <c r="G177" s="36"/>
      <c r="H177" s="662" t="s">
        <v>556</v>
      </c>
      <c r="I177" s="663"/>
      <c r="J177" s="663"/>
      <c r="K177" s="663"/>
      <c r="L177" s="663"/>
      <c r="M177" s="664"/>
      <c r="N177" s="37" t="s">
        <v>36</v>
      </c>
      <c r="O177" s="31">
        <f>12+6*9+3+2*4</f>
        <v>77</v>
      </c>
      <c r="P177" s="31"/>
      <c r="Q177" s="32">
        <f t="shared" si="6"/>
        <v>77</v>
      </c>
    </row>
    <row r="178" spans="1:17" s="324" customFormat="1" ht="30" customHeight="1" x14ac:dyDescent="0.25">
      <c r="A178" s="323"/>
      <c r="B178" s="39" t="s">
        <v>667</v>
      </c>
      <c r="C178" s="46" t="s">
        <v>212</v>
      </c>
      <c r="D178" s="34" t="s">
        <v>558</v>
      </c>
      <c r="E178" s="35"/>
      <c r="F178" s="36"/>
      <c r="G178" s="36"/>
      <c r="H178" s="662" t="s">
        <v>557</v>
      </c>
      <c r="I178" s="663"/>
      <c r="J178" s="663"/>
      <c r="K178" s="663"/>
      <c r="L178" s="663"/>
      <c r="M178" s="664"/>
      <c r="N178" s="37" t="s">
        <v>36</v>
      </c>
      <c r="O178" s="31">
        <f>1*4+1+9+1</f>
        <v>15</v>
      </c>
      <c r="P178" s="31"/>
      <c r="Q178" s="32">
        <f t="shared" si="6"/>
        <v>15</v>
      </c>
    </row>
    <row r="179" spans="1:17" s="324" customFormat="1" ht="30" customHeight="1" x14ac:dyDescent="0.25">
      <c r="A179" s="323"/>
      <c r="B179" s="39" t="s">
        <v>668</v>
      </c>
      <c r="C179" s="46" t="s">
        <v>209</v>
      </c>
      <c r="D179" s="34" t="s">
        <v>560</v>
      </c>
      <c r="E179" s="35"/>
      <c r="F179" s="36"/>
      <c r="G179" s="36"/>
      <c r="H179" s="662" t="s">
        <v>559</v>
      </c>
      <c r="I179" s="663"/>
      <c r="J179" s="663"/>
      <c r="K179" s="663"/>
      <c r="L179" s="663"/>
      <c r="M179" s="664"/>
      <c r="N179" s="37" t="s">
        <v>36</v>
      </c>
      <c r="O179" s="31">
        <f>3+18+1+4</f>
        <v>26</v>
      </c>
      <c r="P179" s="31"/>
      <c r="Q179" s="32">
        <f t="shared" si="6"/>
        <v>26</v>
      </c>
    </row>
    <row r="180" spans="1:17" s="324" customFormat="1" ht="30" customHeight="1" x14ac:dyDescent="0.25">
      <c r="A180" s="323"/>
      <c r="B180" s="39" t="s">
        <v>669</v>
      </c>
      <c r="C180" s="46" t="s">
        <v>212</v>
      </c>
      <c r="D180" s="34" t="s">
        <v>562</v>
      </c>
      <c r="E180" s="35"/>
      <c r="F180" s="36"/>
      <c r="G180" s="36"/>
      <c r="H180" s="662" t="s">
        <v>561</v>
      </c>
      <c r="I180" s="663"/>
      <c r="J180" s="663"/>
      <c r="K180" s="663"/>
      <c r="L180" s="663"/>
      <c r="M180" s="664"/>
      <c r="N180" s="37" t="s">
        <v>36</v>
      </c>
      <c r="O180" s="31">
        <v>15</v>
      </c>
      <c r="P180" s="31"/>
      <c r="Q180" s="32">
        <f t="shared" si="6"/>
        <v>15</v>
      </c>
    </row>
    <row r="181" spans="1:17" s="324" customFormat="1" ht="30" customHeight="1" x14ac:dyDescent="0.25">
      <c r="A181" s="323"/>
      <c r="B181" s="39" t="s">
        <v>673</v>
      </c>
      <c r="C181" s="46" t="s">
        <v>209</v>
      </c>
      <c r="D181" s="34" t="s">
        <v>564</v>
      </c>
      <c r="E181" s="35"/>
      <c r="F181" s="36"/>
      <c r="G181" s="36"/>
      <c r="H181" s="662" t="s">
        <v>563</v>
      </c>
      <c r="I181" s="663"/>
      <c r="J181" s="663"/>
      <c r="K181" s="663"/>
      <c r="L181" s="663"/>
      <c r="M181" s="664"/>
      <c r="N181" s="37" t="s">
        <v>36</v>
      </c>
      <c r="O181" s="31">
        <f>72*2+78*2*9+24*2*1+12*2*4</f>
        <v>1692</v>
      </c>
      <c r="P181" s="31"/>
      <c r="Q181" s="32">
        <f t="shared" si="6"/>
        <v>1692</v>
      </c>
    </row>
    <row r="182" spans="1:17" s="324" customFormat="1" ht="30" customHeight="1" x14ac:dyDescent="0.25">
      <c r="A182" s="323"/>
      <c r="B182" s="39" t="s">
        <v>674</v>
      </c>
      <c r="C182" s="46" t="s">
        <v>209</v>
      </c>
      <c r="D182" s="34" t="s">
        <v>566</v>
      </c>
      <c r="E182" s="35"/>
      <c r="F182" s="36"/>
      <c r="G182" s="36"/>
      <c r="H182" s="662" t="s">
        <v>565</v>
      </c>
      <c r="I182" s="663"/>
      <c r="J182" s="663"/>
      <c r="K182" s="663"/>
      <c r="L182" s="663"/>
      <c r="M182" s="664"/>
      <c r="N182" s="37" t="s">
        <v>36</v>
      </c>
      <c r="O182" s="31">
        <v>1532</v>
      </c>
      <c r="P182" s="31"/>
      <c r="Q182" s="32">
        <f t="shared" si="6"/>
        <v>1532</v>
      </c>
    </row>
    <row r="183" spans="1:17" s="324" customFormat="1" ht="30" customHeight="1" thickBot="1" x14ac:dyDescent="0.3">
      <c r="A183" s="323"/>
      <c r="B183" s="151" t="s">
        <v>675</v>
      </c>
      <c r="C183" s="152" t="s">
        <v>212</v>
      </c>
      <c r="D183" s="153" t="s">
        <v>568</v>
      </c>
      <c r="E183" s="47"/>
      <c r="F183" s="48"/>
      <c r="G183" s="48"/>
      <c r="H183" s="665" t="s">
        <v>567</v>
      </c>
      <c r="I183" s="666"/>
      <c r="J183" s="666"/>
      <c r="K183" s="666"/>
      <c r="L183" s="666"/>
      <c r="M183" s="667"/>
      <c r="N183" s="49" t="s">
        <v>36</v>
      </c>
      <c r="O183" s="50">
        <v>1532</v>
      </c>
      <c r="P183" s="50"/>
      <c r="Q183" s="51">
        <f t="shared" si="6"/>
        <v>1532</v>
      </c>
    </row>
  </sheetData>
  <mergeCells count="157">
    <mergeCell ref="H129:M129"/>
    <mergeCell ref="H81:M81"/>
    <mergeCell ref="H82:M82"/>
    <mergeCell ref="H42:M42"/>
    <mergeCell ref="H113:M113"/>
    <mergeCell ref="H114:M114"/>
    <mergeCell ref="H33:M33"/>
    <mergeCell ref="H43:M43"/>
    <mergeCell ref="H44:M44"/>
    <mergeCell ref="H78:M78"/>
    <mergeCell ref="H100:M100"/>
    <mergeCell ref="H71:M71"/>
    <mergeCell ref="H72:M72"/>
    <mergeCell ref="H73:M73"/>
    <mergeCell ref="H68:M68"/>
    <mergeCell ref="H76:M76"/>
    <mergeCell ref="H91:M91"/>
    <mergeCell ref="H85:M85"/>
    <mergeCell ref="H86:M86"/>
    <mergeCell ref="H87:M87"/>
    <mergeCell ref="H89:M89"/>
    <mergeCell ref="H38:M38"/>
    <mergeCell ref="H39:M39"/>
    <mergeCell ref="H40:M40"/>
    <mergeCell ref="H41:M41"/>
    <mergeCell ref="H37:M37"/>
    <mergeCell ref="H46:M46"/>
    <mergeCell ref="H45:M45"/>
    <mergeCell ref="H116:M116"/>
    <mergeCell ref="H109:M109"/>
    <mergeCell ref="H110:M110"/>
    <mergeCell ref="H111:M111"/>
    <mergeCell ref="H112:M112"/>
    <mergeCell ref="H51:M51"/>
    <mergeCell ref="H52:M52"/>
    <mergeCell ref="H54:M54"/>
    <mergeCell ref="H56:M56"/>
    <mergeCell ref="H53:M53"/>
    <mergeCell ref="H50:M50"/>
    <mergeCell ref="H48:M48"/>
    <mergeCell ref="H58:M58"/>
    <mergeCell ref="H119:M119"/>
    <mergeCell ref="B1:Q6"/>
    <mergeCell ref="H17:M17"/>
    <mergeCell ref="C14:C15"/>
    <mergeCell ref="B14:B15"/>
    <mergeCell ref="E14:M15"/>
    <mergeCell ref="N14:N15"/>
    <mergeCell ref="D14:D15"/>
    <mergeCell ref="Q14:Q15"/>
    <mergeCell ref="P14:P15"/>
    <mergeCell ref="O14:O15"/>
    <mergeCell ref="H19:M19"/>
    <mergeCell ref="H24:M24"/>
    <mergeCell ref="H26:M26"/>
    <mergeCell ref="H30:M30"/>
    <mergeCell ref="H25:M25"/>
    <mergeCell ref="H90:M90"/>
    <mergeCell ref="H101:M101"/>
    <mergeCell ref="H80:M80"/>
    <mergeCell ref="H18:M18"/>
    <mergeCell ref="H22:M22"/>
    <mergeCell ref="H23:M23"/>
    <mergeCell ref="H29:M29"/>
    <mergeCell ref="H49:M49"/>
    <mergeCell ref="H144:M144"/>
    <mergeCell ref="H146:M146"/>
    <mergeCell ref="H118:M118"/>
    <mergeCell ref="H117:M117"/>
    <mergeCell ref="H83:M83"/>
    <mergeCell ref="H84:M84"/>
    <mergeCell ref="H103:M103"/>
    <mergeCell ref="H59:M59"/>
    <mergeCell ref="H60:M60"/>
    <mergeCell ref="H61:M61"/>
    <mergeCell ref="H62:M62"/>
    <mergeCell ref="H66:M66"/>
    <mergeCell ref="H104:M104"/>
    <mergeCell ref="H105:M105"/>
    <mergeCell ref="H102:M102"/>
    <mergeCell ref="H106:M106"/>
    <mergeCell ref="H96:M96"/>
    <mergeCell ref="H97:M97"/>
    <mergeCell ref="H98:M98"/>
    <mergeCell ref="H99:M99"/>
    <mergeCell ref="H67:M67"/>
    <mergeCell ref="H69:M69"/>
    <mergeCell ref="H70:M70"/>
    <mergeCell ref="H115:M115"/>
    <mergeCell ref="H142:M142"/>
    <mergeCell ref="H127:M127"/>
    <mergeCell ref="H128:M128"/>
    <mergeCell ref="H138:M138"/>
    <mergeCell ref="H178:M178"/>
    <mergeCell ref="H168:M168"/>
    <mergeCell ref="H171:M171"/>
    <mergeCell ref="H173:M173"/>
    <mergeCell ref="H63:M63"/>
    <mergeCell ref="H74:M74"/>
    <mergeCell ref="H75:M75"/>
    <mergeCell ref="H77:M77"/>
    <mergeCell ref="H175:M175"/>
    <mergeCell ref="H176:M176"/>
    <mergeCell ref="H155:M155"/>
    <mergeCell ref="H145:M145"/>
    <mergeCell ref="H151:M151"/>
    <mergeCell ref="H147:M147"/>
    <mergeCell ref="H148:M148"/>
    <mergeCell ref="H159:M159"/>
    <mergeCell ref="H160:M160"/>
    <mergeCell ref="H64:M64"/>
    <mergeCell ref="H65:M65"/>
    <mergeCell ref="H174:M174"/>
    <mergeCell ref="H137:M137"/>
    <mergeCell ref="H139:M139"/>
    <mergeCell ref="H170:M170"/>
    <mergeCell ref="H136:M136"/>
    <mergeCell ref="H141:M141"/>
    <mergeCell ref="H55:M55"/>
    <mergeCell ref="H149:M149"/>
    <mergeCell ref="H150:M150"/>
    <mergeCell ref="H154:M154"/>
    <mergeCell ref="H93:M93"/>
    <mergeCell ref="H94:M94"/>
    <mergeCell ref="H95:M95"/>
    <mergeCell ref="H92:M92"/>
    <mergeCell ref="H122:M122"/>
    <mergeCell ref="H123:M123"/>
    <mergeCell ref="H124:M124"/>
    <mergeCell ref="H125:M125"/>
    <mergeCell ref="H126:M126"/>
    <mergeCell ref="H107:M107"/>
    <mergeCell ref="H121:M121"/>
    <mergeCell ref="H108:M108"/>
    <mergeCell ref="H120:M120"/>
    <mergeCell ref="H131:M131"/>
    <mergeCell ref="H132:M132"/>
    <mergeCell ref="H180:M180"/>
    <mergeCell ref="H181:M181"/>
    <mergeCell ref="H182:M182"/>
    <mergeCell ref="H183:M183"/>
    <mergeCell ref="H172:M172"/>
    <mergeCell ref="H152:M152"/>
    <mergeCell ref="H153:M153"/>
    <mergeCell ref="H162:M162"/>
    <mergeCell ref="H164:M164"/>
    <mergeCell ref="H166:M166"/>
    <mergeCell ref="H167:M167"/>
    <mergeCell ref="H177:M177"/>
    <mergeCell ref="H156:M156"/>
    <mergeCell ref="H157:M157"/>
    <mergeCell ref="H158:M158"/>
    <mergeCell ref="H169:M169"/>
    <mergeCell ref="H163:M163"/>
    <mergeCell ref="H161:M161"/>
    <mergeCell ref="H165:M165"/>
    <mergeCell ref="H179:M179"/>
  </mergeCells>
  <phoneticPr fontId="63" type="noConversion"/>
  <printOptions horizontalCentered="1"/>
  <pageMargins left="0.39370078740157483" right="0.39370078740157483" top="0.78740157480314965" bottom="0.98425196850393704" header="0.31496062992125984" footer="0.31496062992125984"/>
  <pageSetup paperSize="9" scale="48" orientation="portrait" r:id="rId1"/>
  <headerFooter>
    <oddFooter>&amp;L&amp;"Arial Narrow,Normal"&amp;10&amp;A
&amp;F&amp;C&amp;"Arial Narrow,Negrito"&amp;10ENG. CIVIL THIAGO ALVES SILVA&amp;"Arial Narrow,Normal"
CREA 1004804750/D-GO&amp;R&amp;"Arial Narrow,Normal"&amp;10Página &amp;P de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2">
    <tabColor theme="6"/>
  </sheetPr>
  <dimension ref="A1:P33"/>
  <sheetViews>
    <sheetView showGridLines="0" showZeros="0" view="pageBreakPreview" zoomScaleNormal="100" zoomScaleSheetLayoutView="100" workbookViewId="0">
      <selection activeCell="C16" sqref="C16:D16"/>
    </sheetView>
  </sheetViews>
  <sheetFormatPr defaultColWidth="16" defaultRowHeight="12.75" x14ac:dyDescent="0.25"/>
  <cols>
    <col min="1" max="1" width="1.5703125" style="103" customWidth="1"/>
    <col min="2" max="2" width="7.42578125" style="85" customWidth="1"/>
    <col min="3" max="3" width="54.42578125" style="103" customWidth="1"/>
    <col min="4" max="4" width="7.42578125" style="103" customWidth="1"/>
    <col min="5" max="10" width="14.5703125" style="85" customWidth="1"/>
    <col min="11" max="11" width="9.140625" style="85" customWidth="1"/>
    <col min="12" max="12" width="1.5703125" style="85" customWidth="1"/>
    <col min="13" max="16384" width="16" style="85"/>
  </cols>
  <sheetData>
    <row r="1" spans="1:16" s="21" customFormat="1" ht="9.9499999999999993" customHeight="1" x14ac:dyDescent="0.25">
      <c r="B1" s="479" t="s">
        <v>326</v>
      </c>
      <c r="C1" s="480"/>
      <c r="D1" s="480"/>
      <c r="E1" s="480"/>
      <c r="F1" s="480"/>
      <c r="G1" s="480"/>
      <c r="H1" s="480"/>
      <c r="I1" s="480"/>
      <c r="J1" s="480"/>
      <c r="K1" s="480"/>
    </row>
    <row r="2" spans="1:16" s="21" customFormat="1" ht="9.9499999999999993" customHeight="1" x14ac:dyDescent="0.25">
      <c r="B2" s="480"/>
      <c r="C2" s="480"/>
      <c r="D2" s="480"/>
      <c r="E2" s="480"/>
      <c r="F2" s="480"/>
      <c r="G2" s="480"/>
      <c r="H2" s="480"/>
      <c r="I2" s="480"/>
      <c r="J2" s="480"/>
      <c r="K2" s="480"/>
    </row>
    <row r="3" spans="1:16" s="21" customFormat="1" ht="9.9499999999999993" customHeight="1" x14ac:dyDescent="0.25">
      <c r="B3" s="480"/>
      <c r="C3" s="480"/>
      <c r="D3" s="480"/>
      <c r="E3" s="480"/>
      <c r="F3" s="480"/>
      <c r="G3" s="480"/>
      <c r="H3" s="480"/>
      <c r="I3" s="480"/>
      <c r="J3" s="480"/>
      <c r="K3" s="480"/>
    </row>
    <row r="4" spans="1:16" s="21" customFormat="1" ht="9.9499999999999993" customHeight="1" x14ac:dyDescent="0.25">
      <c r="B4" s="480"/>
      <c r="C4" s="480"/>
      <c r="D4" s="480"/>
      <c r="E4" s="480"/>
      <c r="F4" s="480"/>
      <c r="G4" s="480"/>
      <c r="H4" s="480"/>
      <c r="I4" s="480"/>
      <c r="J4" s="480"/>
      <c r="K4" s="480"/>
    </row>
    <row r="5" spans="1:16" s="21" customFormat="1" ht="9.9499999999999993" customHeight="1" x14ac:dyDescent="0.25">
      <c r="B5" s="480"/>
      <c r="C5" s="480"/>
      <c r="D5" s="480"/>
      <c r="E5" s="480"/>
      <c r="F5" s="480"/>
      <c r="G5" s="480"/>
      <c r="H5" s="480"/>
      <c r="I5" s="480"/>
      <c r="J5" s="480"/>
      <c r="K5" s="480"/>
    </row>
    <row r="6" spans="1:16" s="21" customFormat="1" ht="9.9499999999999993" customHeight="1" x14ac:dyDescent="0.25">
      <c r="B6" s="480"/>
      <c r="C6" s="480"/>
      <c r="D6" s="480"/>
      <c r="E6" s="480"/>
      <c r="F6" s="480"/>
      <c r="G6" s="480"/>
      <c r="H6" s="480"/>
      <c r="I6" s="480"/>
      <c r="J6" s="480"/>
      <c r="K6" s="480"/>
    </row>
    <row r="7" spans="1:16" s="21" customFormat="1" x14ac:dyDescent="0.25"/>
    <row r="8" spans="1:16" s="12" customFormat="1" ht="15" customHeight="1" x14ac:dyDescent="0.25">
      <c r="B8" s="8" t="s">
        <v>49</v>
      </c>
      <c r="C8" s="9" t="str">
        <f>'DADOS DA OBRA'!$B$13</f>
        <v>TRIBUNAL REGIONAL ELEITORAL - PIAUÍ</v>
      </c>
      <c r="D8" s="9"/>
      <c r="E8" s="9"/>
      <c r="G8" s="10" t="s">
        <v>144</v>
      </c>
      <c r="H8" s="11" t="str">
        <f>+'DADOS DA OBRA'!$N$25</f>
        <v>22/11/2021</v>
      </c>
      <c r="J8" s="10" t="s">
        <v>70</v>
      </c>
      <c r="K8" s="52">
        <f>+'DADOS DA OBRA'!$J$25</f>
        <v>1.1186</v>
      </c>
      <c r="M8" s="71"/>
      <c r="N8" s="71"/>
      <c r="O8" s="72"/>
      <c r="P8" s="72"/>
    </row>
    <row r="9" spans="1:16" s="12" customFormat="1" ht="15" customHeight="1" x14ac:dyDescent="0.25">
      <c r="B9" s="8" t="s">
        <v>68</v>
      </c>
      <c r="C9" s="9" t="str">
        <f>'DADOS DA OBRA'!$B$16</f>
        <v>SUBSTITUIÇÃO DE INSTALAÇÕES ELÉTRICAS E CABEAMENTO ESTRUTURADO - EDIFÍCIO ANEXO</v>
      </c>
      <c r="D9" s="9"/>
      <c r="G9" s="10" t="s">
        <v>51</v>
      </c>
      <c r="H9" s="11">
        <v>44733</v>
      </c>
      <c r="J9" s="10" t="s">
        <v>71</v>
      </c>
      <c r="K9" s="52">
        <f>+'DADOS DA OBRA'!$J$28</f>
        <v>0.70630000000000004</v>
      </c>
    </row>
    <row r="10" spans="1:16" s="12" customFormat="1" ht="15" customHeight="1" x14ac:dyDescent="0.25">
      <c r="B10" s="8" t="s">
        <v>52</v>
      </c>
      <c r="C10" s="9" t="str">
        <f>+""&amp;'DADOS DA OBRA'!$B$19&amp;", "&amp;'DADOS DA OBRA'!$J$22&amp;", "&amp;'DADOS DA OBRA'!$P$22</f>
        <v>PRAÇA EDGAR NOGUEIRA, TERESINA, PI</v>
      </c>
      <c r="G10" s="10" t="s">
        <v>145</v>
      </c>
      <c r="H10" s="11" t="str">
        <f>+'DADOS DA OBRA'!$B$28</f>
        <v>05 MESES</v>
      </c>
      <c r="J10" s="10" t="s">
        <v>138</v>
      </c>
      <c r="K10" s="52">
        <f>+'DADOS DA OBRA'!$F$25</f>
        <v>0.21960000000000002</v>
      </c>
    </row>
    <row r="11" spans="1:16" s="12" customFormat="1" ht="21" customHeight="1" x14ac:dyDescent="0.25">
      <c r="B11" s="8" t="s">
        <v>69</v>
      </c>
      <c r="C11" s="491" t="str">
        <f>+'DADOS DA OBRA'!$B$31</f>
        <v>SINAPI - 04/2022 - PIAUÍ 	 SBC - 05/2022 - TSA - Teresina - PI ORSE - 03/2022 - SERGIPE 	 SETOP - 03/2022 - Minas Gerais - Central SUDECAP - 02/2022 - MINAS GERAIS 	 CPOS - 02/2022 - São Paulo AGESUL - 01/2022 - MATO GROSSO DO SUL 	 AGETOP CIVIL - 04/2022 - Goiás EMOP - 04/2022 - RIO DE JANEIRO</v>
      </c>
      <c r="D11" s="491"/>
      <c r="E11" s="491"/>
      <c r="F11" s="491"/>
      <c r="G11" s="491"/>
      <c r="H11" s="491"/>
      <c r="I11" s="491"/>
      <c r="J11" s="10" t="s">
        <v>139</v>
      </c>
      <c r="K11" s="52">
        <f>+'DADOS DA OBRA'!$F$28</f>
        <v>0.1527</v>
      </c>
    </row>
    <row r="12" spans="1:16" s="20" customFormat="1" ht="6.95" customHeight="1" x14ac:dyDescent="0.25">
      <c r="E12" s="74"/>
      <c r="F12" s="75"/>
      <c r="G12" s="76"/>
      <c r="H12" s="74"/>
      <c r="I12" s="75"/>
      <c r="J12" s="76"/>
      <c r="K12" s="77"/>
      <c r="L12" s="78"/>
      <c r="M12" s="79"/>
    </row>
    <row r="13" spans="1:16" s="101" customFormat="1" ht="5.0999999999999996" customHeight="1" thickBot="1" x14ac:dyDescent="0.3">
      <c r="B13" s="102"/>
      <c r="C13" s="102"/>
      <c r="D13" s="102"/>
      <c r="E13" s="102"/>
      <c r="F13" s="102"/>
      <c r="G13" s="102"/>
      <c r="H13" s="102"/>
      <c r="I13" s="102"/>
      <c r="J13" s="102"/>
      <c r="K13" s="102"/>
      <c r="L13" s="102"/>
    </row>
    <row r="14" spans="1:16" ht="20.100000000000001" customHeight="1" x14ac:dyDescent="0.25">
      <c r="B14" s="481" t="s">
        <v>21</v>
      </c>
      <c r="C14" s="485" t="s">
        <v>28</v>
      </c>
      <c r="D14" s="486"/>
      <c r="E14" s="489" t="s">
        <v>136</v>
      </c>
      <c r="F14" s="490"/>
      <c r="G14" s="483"/>
      <c r="H14" s="489" t="s">
        <v>137</v>
      </c>
      <c r="I14" s="490"/>
      <c r="J14" s="483"/>
      <c r="K14" s="483" t="s">
        <v>23</v>
      </c>
    </row>
    <row r="15" spans="1:16" ht="20.100000000000001" customHeight="1" thickBot="1" x14ac:dyDescent="0.3">
      <c r="B15" s="482"/>
      <c r="C15" s="487"/>
      <c r="D15" s="488"/>
      <c r="E15" s="117" t="s">
        <v>16</v>
      </c>
      <c r="F15" s="104" t="s">
        <v>15</v>
      </c>
      <c r="G15" s="118" t="s">
        <v>10</v>
      </c>
      <c r="H15" s="117" t="s">
        <v>16</v>
      </c>
      <c r="I15" s="104" t="s">
        <v>15</v>
      </c>
      <c r="J15" s="118" t="s">
        <v>10</v>
      </c>
      <c r="K15" s="484"/>
    </row>
    <row r="16" spans="1:16" s="155" customFormat="1" ht="20.100000000000001" customHeight="1" x14ac:dyDescent="0.25">
      <c r="A16" s="154"/>
      <c r="B16" s="251">
        <v>1</v>
      </c>
      <c r="C16" s="498" t="s">
        <v>111</v>
      </c>
      <c r="D16" s="499"/>
      <c r="E16" s="252">
        <f>'ORÇ. SINTÉTICO ONERADO'!K15</f>
        <v>127306.59999999999</v>
      </c>
      <c r="F16" s="252">
        <f>'ORÇ. SINTÉTICO ONERADO'!L15</f>
        <v>4895.25</v>
      </c>
      <c r="G16" s="252">
        <f>'ORÇ. SINTÉTICO ONERADO'!M15</f>
        <v>132201.85</v>
      </c>
      <c r="H16" s="252">
        <f>'ORÇ. SINTÉTICO ONERADO'!Q15</f>
        <v>155263.12935999999</v>
      </c>
      <c r="I16" s="252">
        <f>'ORÇ. SINTÉTICO ONERADO'!R15</f>
        <v>5970.2469000000001</v>
      </c>
      <c r="J16" s="384">
        <f>'ORÇ. SINTÉTICO ONERADO'!S15</f>
        <v>161233.35999999999</v>
      </c>
      <c r="K16" s="387">
        <f t="shared" ref="K16:K29" si="0">+J16/$J$32</f>
        <v>0.14366667274955475</v>
      </c>
      <c r="M16" s="255"/>
      <c r="N16" s="253"/>
      <c r="O16" s="256"/>
    </row>
    <row r="17" spans="1:15" s="155" customFormat="1" ht="20.100000000000001" customHeight="1" x14ac:dyDescent="0.25">
      <c r="A17" s="154"/>
      <c r="B17" s="156">
        <v>2</v>
      </c>
      <c r="C17" s="496" t="s">
        <v>107</v>
      </c>
      <c r="D17" s="497"/>
      <c r="E17" s="119">
        <f>'ORÇ. SINTÉTICO ONERADO'!K20</f>
        <v>7063.14</v>
      </c>
      <c r="F17" s="119">
        <f>'ORÇ. SINTÉTICO ONERADO'!L20</f>
        <v>14417.630000000001</v>
      </c>
      <c r="G17" s="119">
        <f>'ORÇ. SINTÉTICO ONERADO'!M20</f>
        <v>21480.77</v>
      </c>
      <c r="H17" s="119">
        <f>'ORÇ. SINTÉTICO ONERADO'!Q20</f>
        <v>8614.2055440000004</v>
      </c>
      <c r="I17" s="119">
        <f>'ORÇ. SINTÉTICO ONERADO'!R20</f>
        <v>17583.741547999998</v>
      </c>
      <c r="J17" s="385">
        <f>'ORÇ. SINTÉTICO ONERADO'!S20</f>
        <v>26197.93</v>
      </c>
      <c r="K17" s="388">
        <f t="shared" si="0"/>
        <v>2.3343614721083424E-2</v>
      </c>
      <c r="M17" s="255"/>
      <c r="N17" s="253"/>
      <c r="O17" s="256"/>
    </row>
    <row r="18" spans="1:15" s="155" customFormat="1" ht="20.100000000000001" customHeight="1" x14ac:dyDescent="0.25">
      <c r="A18" s="154"/>
      <c r="B18" s="156">
        <v>3</v>
      </c>
      <c r="C18" s="496" t="s">
        <v>106</v>
      </c>
      <c r="D18" s="497"/>
      <c r="E18" s="119">
        <f>'ORÇ. SINTÉTICO ONERADO'!K28</f>
        <v>23854.508000000002</v>
      </c>
      <c r="F18" s="119">
        <f>'ORÇ. SINTÉTICO ONERADO'!L28</f>
        <v>18091.180249999998</v>
      </c>
      <c r="G18" s="119">
        <f>'ORÇ. SINTÉTICO ONERADO'!M28</f>
        <v>41945.670000000006</v>
      </c>
      <c r="H18" s="119">
        <f>'ORÇ. SINTÉTICO ONERADO'!Q28</f>
        <v>29092.957956799997</v>
      </c>
      <c r="I18" s="119">
        <f>'ORÇ. SINTÉTICO ONERADO'!R28</f>
        <v>22064.003432900005</v>
      </c>
      <c r="J18" s="385">
        <f>'ORÇ. SINTÉTICO ONERADO'!S28</f>
        <v>51156.930000000015</v>
      </c>
      <c r="K18" s="388">
        <f t="shared" si="0"/>
        <v>4.5583283268312978E-2</v>
      </c>
      <c r="M18" s="255"/>
      <c r="N18" s="253"/>
      <c r="O18" s="256"/>
    </row>
    <row r="19" spans="1:15" ht="20.100000000000001" customHeight="1" x14ac:dyDescent="0.25">
      <c r="B19" s="156">
        <v>4</v>
      </c>
      <c r="C19" s="496" t="s">
        <v>224</v>
      </c>
      <c r="D19" s="497"/>
      <c r="E19" s="119">
        <f>'ORÇ. SINTÉTICO ONERADO'!K38</f>
        <v>13070.666400000002</v>
      </c>
      <c r="F19" s="119">
        <f>'ORÇ. SINTÉTICO ONERADO'!L38</f>
        <v>18245.270400000001</v>
      </c>
      <c r="G19" s="119">
        <f>'ORÇ. SINTÉTICO ONERADO'!M38</f>
        <v>31315.93</v>
      </c>
      <c r="H19" s="119">
        <f>'ORÇ. SINTÉTICO ONERADO'!Q38</f>
        <v>15940.984741440001</v>
      </c>
      <c r="I19" s="119">
        <f>'ORÇ. SINTÉTICO ONERADO'!R38</f>
        <v>22251.931779840001</v>
      </c>
      <c r="J19" s="119">
        <f>'ORÇ. SINTÉTICO ONERADO'!S38</f>
        <v>38192.910000000003</v>
      </c>
      <c r="K19" s="388">
        <f t="shared" si="0"/>
        <v>3.4031718388323598E-2</v>
      </c>
      <c r="M19" s="255"/>
      <c r="N19" s="253"/>
      <c r="O19" s="256"/>
    </row>
    <row r="20" spans="1:15" ht="20.100000000000001" customHeight="1" x14ac:dyDescent="0.25">
      <c r="B20" s="156">
        <v>5</v>
      </c>
      <c r="C20" s="496" t="s">
        <v>207</v>
      </c>
      <c r="D20" s="497"/>
      <c r="E20" s="119">
        <f>'ORÇ. SINTÉTICO ONERADO'!K41</f>
        <v>26140.698</v>
      </c>
      <c r="F20" s="119">
        <f>'ORÇ. SINTÉTICO ONERADO'!L41</f>
        <v>83315.11</v>
      </c>
      <c r="G20" s="119">
        <f>'ORÇ. SINTÉTICO ONERADO'!M41</f>
        <v>109455.79000000001</v>
      </c>
      <c r="H20" s="119">
        <f>'ORÇ. SINTÉTICO ONERADO'!Q41</f>
        <v>31881.195280800002</v>
      </c>
      <c r="I20" s="119">
        <f>'ORÇ. SINTÉTICO ONERADO'!R41</f>
        <v>101611.108156</v>
      </c>
      <c r="J20" s="119">
        <f>'ORÇ. SINTÉTICO ONERADO'!S41</f>
        <v>133492.24</v>
      </c>
      <c r="K20" s="388">
        <f t="shared" si="0"/>
        <v>0.11894800157166621</v>
      </c>
      <c r="M20" s="255"/>
      <c r="N20" s="253"/>
      <c r="O20" s="256"/>
    </row>
    <row r="21" spans="1:15" ht="20.100000000000001" customHeight="1" x14ac:dyDescent="0.25">
      <c r="B21" s="156">
        <v>6</v>
      </c>
      <c r="C21" s="496" t="s">
        <v>860</v>
      </c>
      <c r="D21" s="497"/>
      <c r="E21" s="119">
        <f>'ORÇ. SINTÉTICO ONERADO'!K60</f>
        <v>4359</v>
      </c>
      <c r="F21" s="119">
        <f>'ORÇ. SINTÉTICO ONERADO'!L60</f>
        <v>97440</v>
      </c>
      <c r="G21" s="119">
        <f>'ORÇ. SINTÉTICO ONERADO'!M60</f>
        <v>101799</v>
      </c>
      <c r="H21" s="119">
        <f>'ORÇ. SINTÉTICO ONERADO'!Q60</f>
        <v>5316.2363999999998</v>
      </c>
      <c r="I21" s="119">
        <f>'ORÇ. SINTÉTICO ONERADO'!R60</f>
        <v>118837.82399999999</v>
      </c>
      <c r="J21" s="119">
        <f>'ORÇ. SINTÉTICO ONERADO'!S60</f>
        <v>124154.06</v>
      </c>
      <c r="K21" s="388">
        <f t="shared" si="0"/>
        <v>0.11062723439211704</v>
      </c>
      <c r="M21" s="255"/>
      <c r="N21" s="253"/>
      <c r="O21" s="256"/>
    </row>
    <row r="22" spans="1:15" ht="20.100000000000001" customHeight="1" x14ac:dyDescent="0.25">
      <c r="B22" s="156">
        <v>7</v>
      </c>
      <c r="C22" s="496" t="s">
        <v>1092</v>
      </c>
      <c r="D22" s="497"/>
      <c r="E22" s="382">
        <f>'ORÇ. SINTÉTICO ONERADO'!K63</f>
        <v>5174.43</v>
      </c>
      <c r="F22" s="382">
        <f>'ORÇ. SINTÉTICO ONERADO'!L63</f>
        <v>8023.8499999999995</v>
      </c>
      <c r="G22" s="382">
        <f>'ORÇ. SINTÉTICO ONERADO'!M63</f>
        <v>13198.279999999999</v>
      </c>
      <c r="H22" s="382">
        <f>'ORÇ. SINTÉTICO ONERADO'!Q63</f>
        <v>6310.7348280000006</v>
      </c>
      <c r="I22" s="382">
        <f>'ORÇ. SINTÉTICO ONERADO'!R63</f>
        <v>9785.8874599999999</v>
      </c>
      <c r="J22" s="382">
        <f>'ORÇ. SINTÉTICO ONERADO'!S63</f>
        <v>16096.6</v>
      </c>
      <c r="K22" s="388">
        <f t="shared" si="0"/>
        <v>1.4342844214004368E-2</v>
      </c>
      <c r="M22" s="255"/>
      <c r="N22" s="253"/>
      <c r="O22" s="256"/>
    </row>
    <row r="23" spans="1:15" ht="20.100000000000001" customHeight="1" x14ac:dyDescent="0.25">
      <c r="B23" s="156">
        <v>8</v>
      </c>
      <c r="C23" s="496" t="s">
        <v>880</v>
      </c>
      <c r="D23" s="497"/>
      <c r="E23" s="382">
        <f>'ORÇ. SINTÉTICO ONERADO'!K71</f>
        <v>3337.74</v>
      </c>
      <c r="F23" s="382">
        <f>'ORÇ. SINTÉTICO ONERADO'!L71</f>
        <v>9803.52</v>
      </c>
      <c r="G23" s="382">
        <f>'ORÇ. SINTÉTICO ONERADO'!M71</f>
        <v>13141.259999999998</v>
      </c>
      <c r="H23" s="382">
        <f>'ORÇ. SINTÉTICO ONERADO'!Q71</f>
        <v>4070.7077039999995</v>
      </c>
      <c r="I23" s="382">
        <f>'ORÇ. SINTÉTICO ONERADO'!R71</f>
        <v>11956.372992000001</v>
      </c>
      <c r="J23" s="382">
        <f>'ORÇ. SINTÉTICO ONERADO'!S71</f>
        <v>16027.02</v>
      </c>
      <c r="K23" s="388">
        <f t="shared" si="0"/>
        <v>1.4280845089940254E-2</v>
      </c>
      <c r="M23" s="255"/>
      <c r="N23" s="253"/>
      <c r="O23" s="256"/>
    </row>
    <row r="24" spans="1:15" ht="20.100000000000001" customHeight="1" x14ac:dyDescent="0.25">
      <c r="B24" s="156">
        <v>9</v>
      </c>
      <c r="C24" s="496" t="s">
        <v>1119</v>
      </c>
      <c r="D24" s="497"/>
      <c r="E24" s="382">
        <f>'ORÇ. SINTÉTICO ONERADO'!K81</f>
        <v>9080.7680000000018</v>
      </c>
      <c r="F24" s="382">
        <f>'ORÇ. SINTÉTICO ONERADO'!L81</f>
        <v>30471.431999999997</v>
      </c>
      <c r="G24" s="382">
        <f>'ORÇ. SINTÉTICO ONERADO'!M81</f>
        <v>39552.19</v>
      </c>
      <c r="H24" s="382">
        <f>'ORÇ. SINTÉTICO ONERADO'!Q81</f>
        <v>11074.9046528</v>
      </c>
      <c r="I24" s="382">
        <f>'ORÇ. SINTÉTICO ONERADO'!R81</f>
        <v>37162.958467200006</v>
      </c>
      <c r="J24" s="382">
        <f>'ORÇ. SINTÉTICO ONERADO'!S81</f>
        <v>48237.760000000009</v>
      </c>
      <c r="K24" s="388">
        <f t="shared" si="0"/>
        <v>4.2982162500933827E-2</v>
      </c>
      <c r="M24" s="255"/>
      <c r="N24" s="253"/>
      <c r="O24" s="256"/>
    </row>
    <row r="25" spans="1:15" ht="20.100000000000001" customHeight="1" x14ac:dyDescent="0.25">
      <c r="B25" s="156">
        <v>10</v>
      </c>
      <c r="C25" s="496" t="s">
        <v>924</v>
      </c>
      <c r="D25" s="497"/>
      <c r="E25" s="382">
        <f>'ORÇ. SINTÉTICO ONERADO'!K104</f>
        <v>22598.756000000001</v>
      </c>
      <c r="F25" s="382">
        <f>'ORÇ. SINTÉTICO ONERADO'!L104</f>
        <v>74689.05</v>
      </c>
      <c r="G25" s="382">
        <f>'ORÇ. SINTÉTICO ONERADO'!M104</f>
        <v>97287.78</v>
      </c>
      <c r="H25" s="382">
        <f>'ORÇ. SINTÉTICO ONERADO'!Q104</f>
        <v>27561.4428176</v>
      </c>
      <c r="I25" s="382">
        <f>'ORÇ. SINTÉTICO ONERADO'!R104</f>
        <v>91090.765379999983</v>
      </c>
      <c r="J25" s="382">
        <f>'ORÇ. SINTÉTICO ONERADO'!S104</f>
        <v>118652.15999999999</v>
      </c>
      <c r="K25" s="388">
        <f t="shared" si="0"/>
        <v>0.10572477706690359</v>
      </c>
      <c r="M25" s="255"/>
      <c r="N25" s="253"/>
      <c r="O25" s="256"/>
    </row>
    <row r="26" spans="1:15" ht="20.100000000000001" customHeight="1" x14ac:dyDescent="0.25">
      <c r="B26" s="156">
        <v>11</v>
      </c>
      <c r="C26" s="496" t="s">
        <v>949</v>
      </c>
      <c r="D26" s="497"/>
      <c r="E26" s="382">
        <f>'ORÇ. SINTÉTICO ONERADO'!K116</f>
        <v>404.04</v>
      </c>
      <c r="F26" s="382">
        <f>'ORÇ. SINTÉTICO ONERADO'!L116</f>
        <v>20916.37</v>
      </c>
      <c r="G26" s="382">
        <f>'ORÇ. SINTÉTICO ONERADO'!M116</f>
        <v>21320.410000000003</v>
      </c>
      <c r="H26" s="382">
        <f>'ORÇ. SINTÉTICO ONERADO'!Q116</f>
        <v>492.76718400000004</v>
      </c>
      <c r="I26" s="382">
        <f>'ORÇ. SINTÉTICO ONERADO'!R116</f>
        <v>25509.604852</v>
      </c>
      <c r="J26" s="382">
        <f>'ORÇ. SINTÉTICO ONERADO'!S116</f>
        <v>26002.36</v>
      </c>
      <c r="K26" s="388">
        <f t="shared" si="0"/>
        <v>2.3169352451850617E-2</v>
      </c>
      <c r="M26" s="255"/>
      <c r="N26" s="253"/>
      <c r="O26" s="256"/>
    </row>
    <row r="27" spans="1:15" ht="20.100000000000001" customHeight="1" x14ac:dyDescent="0.25">
      <c r="B27" s="156">
        <v>12</v>
      </c>
      <c r="C27" s="496" t="s">
        <v>952</v>
      </c>
      <c r="D27" s="497"/>
      <c r="E27" s="382">
        <f>'ORÇ. SINTÉTICO ONERADO'!K120</f>
        <v>64925.911999999997</v>
      </c>
      <c r="F27" s="382">
        <f>'ORÇ. SINTÉTICO ONERADO'!L120</f>
        <v>223417.27299999999</v>
      </c>
      <c r="G27" s="382">
        <f>'ORÇ. SINTÉTICO ONERADO'!M120</f>
        <v>288343.16000000003</v>
      </c>
      <c r="H27" s="382">
        <f>'ORÇ. SINTÉTICO ONERADO'!Q120</f>
        <v>79183.642275200007</v>
      </c>
      <c r="I27" s="382">
        <f>'ORÇ. SINTÉTICO ONERADO'!R120</f>
        <v>272479.70615079999</v>
      </c>
      <c r="J27" s="382">
        <f>'ORÇ. SINTÉTICO ONERADO'!S120</f>
        <v>351663.08</v>
      </c>
      <c r="K27" s="388">
        <f t="shared" si="0"/>
        <v>0.31334870545686389</v>
      </c>
      <c r="M27" s="255"/>
      <c r="N27" s="253"/>
      <c r="O27" s="256"/>
    </row>
    <row r="28" spans="1:15" ht="20.100000000000001" customHeight="1" x14ac:dyDescent="0.25">
      <c r="B28" s="156">
        <v>13</v>
      </c>
      <c r="C28" s="496" t="s">
        <v>1046</v>
      </c>
      <c r="D28" s="497"/>
      <c r="E28" s="382">
        <f>'ORÇ. SINTÉTICO ONERADO'!K196</f>
        <v>4940.3588</v>
      </c>
      <c r="F28" s="382">
        <f>'ORÇ. SINTÉTICO ONERADO'!L196</f>
        <v>4216.3407000000007</v>
      </c>
      <c r="G28" s="382">
        <f>'ORÇ. SINTÉTICO ONERADO'!M196</f>
        <v>9156.69</v>
      </c>
      <c r="H28" s="382">
        <f>'ORÇ. SINTÉTICO ONERADO'!Q196</f>
        <v>6025.2615924800002</v>
      </c>
      <c r="I28" s="382">
        <f>'ORÇ. SINTÉTICO ONERADO'!R196</f>
        <v>5142.24911772</v>
      </c>
      <c r="J28" s="382">
        <f>'ORÇ. SINTÉTICO ONERADO'!S196</f>
        <v>11167.51</v>
      </c>
      <c r="K28" s="388">
        <f t="shared" si="0"/>
        <v>9.9507881284455063E-3</v>
      </c>
      <c r="M28" s="255"/>
      <c r="N28" s="253"/>
      <c r="O28" s="256"/>
    </row>
    <row r="29" spans="1:15" ht="20.100000000000001" customHeight="1" thickBot="1" x14ac:dyDescent="0.3">
      <c r="B29" s="105"/>
      <c r="C29" s="492"/>
      <c r="D29" s="493"/>
      <c r="E29" s="120"/>
      <c r="F29" s="106"/>
      <c r="G29" s="121"/>
      <c r="H29" s="120"/>
      <c r="I29" s="106"/>
      <c r="J29" s="386"/>
      <c r="K29" s="388">
        <f t="shared" si="0"/>
        <v>0</v>
      </c>
    </row>
    <row r="30" spans="1:15" ht="6.95" customHeight="1" thickBot="1" x14ac:dyDescent="0.3">
      <c r="B30" s="107"/>
      <c r="C30" s="108"/>
      <c r="D30" s="108"/>
      <c r="E30" s="57"/>
      <c r="F30" s="57"/>
      <c r="G30" s="57"/>
      <c r="H30" s="57"/>
      <c r="I30" s="57"/>
      <c r="J30" s="57"/>
    </row>
    <row r="31" spans="1:15" ht="6.95" customHeight="1" x14ac:dyDescent="0.25">
      <c r="B31" s="124"/>
      <c r="C31" s="125"/>
      <c r="D31" s="125"/>
      <c r="E31" s="126"/>
      <c r="F31" s="127"/>
      <c r="G31" s="128"/>
      <c r="H31" s="126"/>
      <c r="I31" s="127"/>
      <c r="J31" s="128"/>
      <c r="K31" s="128"/>
    </row>
    <row r="32" spans="1:15" s="111" customFormat="1" x14ac:dyDescent="0.25">
      <c r="A32" s="110"/>
      <c r="B32" s="494" t="s">
        <v>43</v>
      </c>
      <c r="C32" s="495"/>
      <c r="D32" s="97"/>
      <c r="E32" s="98">
        <f>SUM(E16:E31)</f>
        <v>312256.61719999998</v>
      </c>
      <c r="F32" s="99">
        <f>SUM(F16:F31)</f>
        <v>607942.27634999994</v>
      </c>
      <c r="G32" s="100">
        <f>SUM(G16:G31)</f>
        <v>920198.78</v>
      </c>
      <c r="H32" s="98">
        <f>SUM(H16:H31)</f>
        <v>380828.17033711995</v>
      </c>
      <c r="I32" s="99">
        <f>SUM(I16:I31)</f>
        <v>741446.40023646003</v>
      </c>
      <c r="J32" s="100">
        <f>SUM(J16:J29)</f>
        <v>1122273.92</v>
      </c>
      <c r="K32" s="383">
        <f>SUM(K16:K29)</f>
        <v>0.99999999999999989</v>
      </c>
    </row>
    <row r="33" spans="2:11" ht="6.95" customHeight="1" thickBot="1" x14ac:dyDescent="0.3">
      <c r="B33" s="112"/>
      <c r="C33" s="113"/>
      <c r="D33" s="113"/>
      <c r="E33" s="114"/>
      <c r="F33" s="115"/>
      <c r="G33" s="116"/>
      <c r="H33" s="114"/>
      <c r="I33" s="115"/>
      <c r="J33" s="116"/>
      <c r="K33" s="116"/>
    </row>
  </sheetData>
  <mergeCells count="22">
    <mergeCell ref="C29:D29"/>
    <mergeCell ref="B32:C32"/>
    <mergeCell ref="C20:D20"/>
    <mergeCell ref="C21:D21"/>
    <mergeCell ref="C16:D16"/>
    <mergeCell ref="C17:D17"/>
    <mergeCell ref="C19:D19"/>
    <mergeCell ref="C18:D18"/>
    <mergeCell ref="C22:D22"/>
    <mergeCell ref="C23:D23"/>
    <mergeCell ref="C24:D24"/>
    <mergeCell ref="C25:D25"/>
    <mergeCell ref="C26:D26"/>
    <mergeCell ref="C27:D27"/>
    <mergeCell ref="C28:D28"/>
    <mergeCell ref="B1:K6"/>
    <mergeCell ref="B14:B15"/>
    <mergeCell ref="K14:K15"/>
    <mergeCell ref="C14:D15"/>
    <mergeCell ref="E14:G14"/>
    <mergeCell ref="H14:J14"/>
    <mergeCell ref="C11:I11"/>
  </mergeCells>
  <printOptions horizontalCentered="1"/>
  <pageMargins left="0.51181102362204722" right="0.51181102362204722" top="0.78740157480314965" bottom="0.98425196850393704" header="0.31496062992125984" footer="0.31496062992125984"/>
  <pageSetup paperSize="9" scale="76" orientation="landscape" horizontalDpi="1200" verticalDpi="1200" r:id="rId1"/>
  <headerFooter>
    <oddFooter>&amp;L&amp;"Arial Narrow,Normal"&amp;10&amp;A
&amp;F&amp;C&amp;"Arial Narrow,Negrito"&amp;10ENG. CIVIL THIAGO ALVES SILVA&amp;"Arial Narrow,Normal"
CREA 1004804750/D-GO&amp;R&amp;"Arial Narrow,Normal"&amp;10Página &amp;P de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Plan4">
    <tabColor theme="6"/>
  </sheetPr>
  <dimension ref="A1:Y207"/>
  <sheetViews>
    <sheetView showGridLines="0" showZeros="0" view="pageBreakPreview" zoomScale="85" zoomScaleNormal="100" zoomScaleSheetLayoutView="85" workbookViewId="0">
      <selection activeCell="L34" sqref="L34"/>
    </sheetView>
  </sheetViews>
  <sheetFormatPr defaultColWidth="16" defaultRowHeight="12.75" x14ac:dyDescent="0.25"/>
  <cols>
    <col min="1" max="1" width="0.85546875" style="201" customWidth="1"/>
    <col min="2" max="2" width="7.42578125" style="202" customWidth="1"/>
    <col min="3" max="3" width="9.42578125" style="178" customWidth="1"/>
    <col min="4" max="4" width="8.42578125" style="178" customWidth="1"/>
    <col min="5" max="5" width="48.140625" style="201" customWidth="1"/>
    <col min="6" max="6" width="5.5703125" style="202" customWidth="1"/>
    <col min="7" max="7" width="9.85546875" style="243" customWidth="1"/>
    <col min="8" max="8" width="10.85546875" style="202" customWidth="1"/>
    <col min="9" max="10" width="10.140625" style="202" customWidth="1"/>
    <col min="11" max="11" width="15.85546875" style="202" customWidth="1"/>
    <col min="12" max="12" width="13.140625" style="202" bestFit="1" customWidth="1"/>
    <col min="13" max="13" width="14.42578125" style="243" bestFit="1" customWidth="1"/>
    <col min="14" max="14" width="10.42578125" style="202" customWidth="1"/>
    <col min="15" max="16" width="10.140625" style="202" customWidth="1"/>
    <col min="17" max="17" width="14" style="202" bestFit="1" customWidth="1"/>
    <col min="18" max="18" width="14.42578125" style="202" bestFit="1" customWidth="1"/>
    <col min="19" max="19" width="17" style="202" customWidth="1"/>
    <col min="20" max="20" width="8.42578125" style="202" bestFit="1" customWidth="1"/>
    <col min="21" max="21" width="0.85546875" style="202" customWidth="1"/>
    <col min="22" max="16384" width="16" style="202"/>
  </cols>
  <sheetData>
    <row r="1" spans="2:25" s="177" customFormat="1" ht="9.9499999999999993" customHeight="1" x14ac:dyDescent="0.25">
      <c r="B1" s="479" t="s">
        <v>327</v>
      </c>
      <c r="C1" s="480"/>
      <c r="D1" s="480"/>
      <c r="E1" s="480"/>
      <c r="F1" s="480"/>
      <c r="G1" s="480"/>
      <c r="H1" s="480"/>
      <c r="I1" s="480"/>
      <c r="J1" s="480"/>
      <c r="K1" s="480"/>
      <c r="L1" s="480"/>
      <c r="M1" s="480"/>
      <c r="N1" s="480"/>
      <c r="O1" s="480"/>
      <c r="P1" s="480"/>
      <c r="Q1" s="480"/>
      <c r="R1" s="480"/>
      <c r="S1" s="480"/>
      <c r="T1" s="480"/>
    </row>
    <row r="2" spans="2:25" s="177" customFormat="1" ht="9.9499999999999993" customHeight="1" x14ac:dyDescent="0.25">
      <c r="B2" s="480"/>
      <c r="C2" s="480"/>
      <c r="D2" s="480"/>
      <c r="E2" s="480"/>
      <c r="F2" s="480"/>
      <c r="G2" s="480"/>
      <c r="H2" s="480"/>
      <c r="I2" s="480"/>
      <c r="J2" s="480"/>
      <c r="K2" s="480"/>
      <c r="L2" s="480"/>
      <c r="M2" s="480"/>
      <c r="N2" s="480"/>
      <c r="O2" s="480"/>
      <c r="P2" s="480"/>
      <c r="Q2" s="480"/>
      <c r="R2" s="480"/>
      <c r="S2" s="480"/>
      <c r="T2" s="480"/>
    </row>
    <row r="3" spans="2:25" s="177" customFormat="1" ht="9.9499999999999993" customHeight="1" x14ac:dyDescent="0.25">
      <c r="B3" s="480"/>
      <c r="C3" s="480"/>
      <c r="D3" s="480"/>
      <c r="E3" s="480"/>
      <c r="F3" s="480"/>
      <c r="G3" s="480"/>
      <c r="H3" s="480"/>
      <c r="I3" s="480"/>
      <c r="J3" s="480"/>
      <c r="K3" s="480"/>
      <c r="L3" s="480"/>
      <c r="M3" s="480"/>
      <c r="N3" s="480"/>
      <c r="O3" s="480"/>
      <c r="P3" s="480"/>
      <c r="Q3" s="480"/>
      <c r="R3" s="480"/>
      <c r="S3" s="480"/>
      <c r="T3" s="480"/>
    </row>
    <row r="4" spans="2:25" s="177" customFormat="1" ht="9.9499999999999993" customHeight="1" x14ac:dyDescent="0.25">
      <c r="B4" s="480"/>
      <c r="C4" s="480"/>
      <c r="D4" s="480"/>
      <c r="E4" s="480"/>
      <c r="F4" s="480"/>
      <c r="G4" s="480"/>
      <c r="H4" s="480"/>
      <c r="I4" s="480"/>
      <c r="J4" s="480"/>
      <c r="K4" s="480"/>
      <c r="L4" s="480"/>
      <c r="M4" s="480"/>
      <c r="N4" s="480"/>
      <c r="O4" s="480"/>
      <c r="P4" s="480"/>
      <c r="Q4" s="480"/>
      <c r="R4" s="480"/>
      <c r="S4" s="480"/>
      <c r="T4" s="480"/>
    </row>
    <row r="5" spans="2:25" s="177" customFormat="1" ht="9.9499999999999993" customHeight="1" x14ac:dyDescent="0.25">
      <c r="B5" s="480"/>
      <c r="C5" s="480"/>
      <c r="D5" s="480"/>
      <c r="E5" s="480"/>
      <c r="F5" s="480"/>
      <c r="G5" s="480"/>
      <c r="H5" s="480"/>
      <c r="I5" s="480"/>
      <c r="J5" s="480"/>
      <c r="K5" s="480"/>
      <c r="L5" s="480"/>
      <c r="M5" s="480"/>
      <c r="N5" s="480"/>
      <c r="O5" s="480"/>
      <c r="P5" s="480"/>
      <c r="Q5" s="480"/>
      <c r="R5" s="480"/>
      <c r="S5" s="480"/>
      <c r="T5" s="480"/>
    </row>
    <row r="6" spans="2:25" s="177" customFormat="1" ht="9.9499999999999993" customHeight="1" x14ac:dyDescent="0.25">
      <c r="B6" s="480"/>
      <c r="C6" s="480"/>
      <c r="D6" s="480"/>
      <c r="E6" s="480"/>
      <c r="F6" s="480"/>
      <c r="G6" s="480"/>
      <c r="H6" s="480"/>
      <c r="I6" s="480"/>
      <c r="J6" s="480"/>
      <c r="K6" s="480"/>
      <c r="L6" s="480"/>
      <c r="M6" s="480"/>
      <c r="N6" s="480"/>
      <c r="O6" s="480"/>
      <c r="P6" s="480"/>
      <c r="Q6" s="480"/>
      <c r="R6" s="480"/>
      <c r="S6" s="480"/>
      <c r="T6" s="480"/>
    </row>
    <row r="7" spans="2:25" s="177" customFormat="1" x14ac:dyDescent="0.25">
      <c r="C7" s="178"/>
      <c r="M7" s="179"/>
    </row>
    <row r="8" spans="2:25" s="180" customFormat="1" ht="15" customHeight="1" x14ac:dyDescent="0.25">
      <c r="B8" s="181" t="s">
        <v>49</v>
      </c>
      <c r="C8" s="182" t="str">
        <f>'DADOS DA OBRA'!$B$13</f>
        <v>TRIBUNAL REGIONAL ELEITORAL - PIAUÍ</v>
      </c>
      <c r="F8" s="183"/>
      <c r="G8" s="183"/>
      <c r="H8" s="183"/>
      <c r="I8" s="183"/>
      <c r="J8" s="257"/>
      <c r="K8" s="183"/>
      <c r="M8" s="184"/>
      <c r="N8" s="183"/>
      <c r="O8" s="185" t="s">
        <v>144</v>
      </c>
      <c r="P8" s="186" t="str">
        <f>+'DADOS DA OBRA'!$N$25</f>
        <v>22/11/2021</v>
      </c>
      <c r="Q8" s="183"/>
      <c r="S8" s="185" t="s">
        <v>70</v>
      </c>
      <c r="T8" s="187">
        <f>+'DADOS DA OBRA'!$J$25</f>
        <v>1.1186</v>
      </c>
      <c r="V8" s="188"/>
      <c r="Y8" s="189"/>
    </row>
    <row r="9" spans="2:25" s="180" customFormat="1" ht="15" customHeight="1" x14ac:dyDescent="0.25">
      <c r="B9" s="181" t="s">
        <v>68</v>
      </c>
      <c r="C9" s="182" t="str">
        <f>'DADOS DA OBRA'!$B$16</f>
        <v>SUBSTITUIÇÃO DE INSTALAÇÕES ELÉTRICAS E CABEAMENTO ESTRUTURADO - EDIFÍCIO ANEXO</v>
      </c>
      <c r="M9" s="190"/>
      <c r="O9" s="185" t="s">
        <v>51</v>
      </c>
      <c r="P9" s="186">
        <f>'DADOS DA OBRA'!$N$28</f>
        <v>44733</v>
      </c>
      <c r="S9" s="185" t="s">
        <v>71</v>
      </c>
      <c r="T9" s="187">
        <f>+'DADOS DA OBRA'!$J$28</f>
        <v>0.70630000000000004</v>
      </c>
    </row>
    <row r="10" spans="2:25" s="180" customFormat="1" ht="15" customHeight="1" x14ac:dyDescent="0.25">
      <c r="B10" s="181" t="s">
        <v>52</v>
      </c>
      <c r="C10" s="183" t="str">
        <f>+""&amp;'DADOS DA OBRA'!$B$19&amp;", "&amp;'DADOS DA OBRA'!$J$22&amp;", "&amp;'DADOS DA OBRA'!$P$22</f>
        <v>PRAÇA EDGAR NOGUEIRA, TERESINA, PI</v>
      </c>
      <c r="D10" s="183"/>
      <c r="M10" s="190"/>
      <c r="O10" s="185" t="s">
        <v>145</v>
      </c>
      <c r="P10" s="186" t="str">
        <f>+'DADOS DA OBRA'!$B$28</f>
        <v>05 MESES</v>
      </c>
      <c r="S10" s="185" t="s">
        <v>138</v>
      </c>
      <c r="T10" s="187">
        <f>+'DADOS DA OBRA'!$F$25</f>
        <v>0.21960000000000002</v>
      </c>
    </row>
    <row r="11" spans="2:25" s="180" customFormat="1" ht="34.700000000000003" customHeight="1" x14ac:dyDescent="0.25">
      <c r="B11" s="181" t="s">
        <v>69</v>
      </c>
      <c r="C11" s="491" t="str">
        <f>+'DADOS DA OBRA'!$B$31</f>
        <v>SINAPI - 04/2022 - PIAUÍ 	 SBC - 05/2022 - TSA - Teresina - PI ORSE - 03/2022 - SERGIPE 	 SETOP - 03/2022 - Minas Gerais - Central SUDECAP - 02/2022 - MINAS GERAIS 	 CPOS - 02/2022 - São Paulo AGESUL - 01/2022 - MATO GROSSO DO SUL 	 AGETOP CIVIL - 04/2022 - Goiás EMOP - 04/2022 - RIO DE JANEIRO</v>
      </c>
      <c r="D11" s="491"/>
      <c r="E11" s="491"/>
      <c r="F11" s="491"/>
      <c r="G11" s="491"/>
      <c r="H11" s="491"/>
      <c r="I11" s="491"/>
      <c r="J11" s="491"/>
      <c r="K11" s="491"/>
      <c r="L11" s="491"/>
      <c r="M11" s="491"/>
      <c r="N11" s="491"/>
      <c r="O11" s="491"/>
      <c r="P11" s="491"/>
      <c r="Q11" s="491"/>
      <c r="R11" s="491"/>
      <c r="S11" s="185" t="s">
        <v>139</v>
      </c>
      <c r="T11" s="187">
        <f>+'DADOS DA OBRA'!$F$28</f>
        <v>0.1527</v>
      </c>
    </row>
    <row r="12" spans="2:25" s="191" customFormat="1" ht="6.95" customHeight="1" thickBot="1" x14ac:dyDescent="0.3">
      <c r="C12" s="192"/>
      <c r="I12" s="193"/>
      <c r="J12" s="194"/>
      <c r="K12" s="194"/>
      <c r="L12" s="195"/>
      <c r="M12" s="196"/>
      <c r="O12" s="193"/>
      <c r="P12" s="194"/>
      <c r="Q12" s="194"/>
      <c r="R12" s="195"/>
      <c r="S12" s="197"/>
      <c r="T12" s="198"/>
      <c r="U12" s="199"/>
      <c r="V12" s="200"/>
    </row>
    <row r="13" spans="2:25" ht="20.100000000000001" customHeight="1" x14ac:dyDescent="0.25">
      <c r="B13" s="511" t="s">
        <v>21</v>
      </c>
      <c r="C13" s="500" t="s">
        <v>45</v>
      </c>
      <c r="D13" s="500" t="s">
        <v>44</v>
      </c>
      <c r="E13" s="500" t="s">
        <v>28</v>
      </c>
      <c r="F13" s="500" t="s">
        <v>22</v>
      </c>
      <c r="G13" s="513" t="s">
        <v>12</v>
      </c>
      <c r="H13" s="502" t="s">
        <v>140</v>
      </c>
      <c r="I13" s="503"/>
      <c r="J13" s="504"/>
      <c r="K13" s="506" t="s">
        <v>141</v>
      </c>
      <c r="L13" s="507"/>
      <c r="M13" s="508"/>
      <c r="N13" s="502" t="s">
        <v>1269</v>
      </c>
      <c r="O13" s="503"/>
      <c r="P13" s="504"/>
      <c r="Q13" s="505" t="s">
        <v>13</v>
      </c>
      <c r="R13" s="500"/>
      <c r="S13" s="500" t="s">
        <v>10</v>
      </c>
      <c r="T13" s="509" t="s">
        <v>23</v>
      </c>
    </row>
    <row r="14" spans="2:25" ht="20.100000000000001" customHeight="1" thickBot="1" x14ac:dyDescent="0.3">
      <c r="B14" s="512"/>
      <c r="C14" s="501"/>
      <c r="D14" s="501"/>
      <c r="E14" s="501"/>
      <c r="F14" s="501"/>
      <c r="G14" s="514"/>
      <c r="H14" s="157" t="s">
        <v>16</v>
      </c>
      <c r="I14" s="158" t="s">
        <v>15</v>
      </c>
      <c r="J14" s="159" t="s">
        <v>10</v>
      </c>
      <c r="K14" s="157" t="s">
        <v>16</v>
      </c>
      <c r="L14" s="158" t="s">
        <v>15</v>
      </c>
      <c r="M14" s="159" t="s">
        <v>10</v>
      </c>
      <c r="N14" s="157" t="s">
        <v>16</v>
      </c>
      <c r="O14" s="158" t="s">
        <v>15</v>
      </c>
      <c r="P14" s="159" t="s">
        <v>10</v>
      </c>
      <c r="Q14" s="157" t="s">
        <v>16</v>
      </c>
      <c r="R14" s="158" t="s">
        <v>15</v>
      </c>
      <c r="S14" s="501"/>
      <c r="T14" s="510"/>
    </row>
    <row r="15" spans="2:25" ht="24.95" customHeight="1" x14ac:dyDescent="0.25">
      <c r="B15" s="326" t="s">
        <v>210</v>
      </c>
      <c r="C15" s="327"/>
      <c r="D15" s="327"/>
      <c r="E15" s="328" t="s">
        <v>111</v>
      </c>
      <c r="F15" s="329"/>
      <c r="G15" s="330"/>
      <c r="H15" s="331"/>
      <c r="I15" s="329"/>
      <c r="J15" s="334"/>
      <c r="K15" s="334">
        <f t="shared" ref="K15:L15" si="0">SUM(K16:K18)</f>
        <v>127306.59999999999</v>
      </c>
      <c r="L15" s="334">
        <f t="shared" si="0"/>
        <v>4895.25</v>
      </c>
      <c r="M15" s="334">
        <f>SUM(M16:M18)</f>
        <v>132201.85</v>
      </c>
      <c r="N15" s="335"/>
      <c r="O15" s="336"/>
      <c r="P15" s="334"/>
      <c r="Q15" s="334">
        <f t="shared" ref="Q15:R15" si="1">SUM(Q16:Q18)</f>
        <v>155263.12935999999</v>
      </c>
      <c r="R15" s="334">
        <f t="shared" si="1"/>
        <v>5970.2469000000001</v>
      </c>
      <c r="S15" s="334">
        <f>SUM(S16:S18)</f>
        <v>161233.35999999999</v>
      </c>
      <c r="T15" s="333">
        <f t="shared" ref="T15:T26" si="2">+S15/$S$201</f>
        <v>0.14366667274955475</v>
      </c>
    </row>
    <row r="16" spans="2:25" ht="24.95" customHeight="1" x14ac:dyDescent="0.25">
      <c r="B16" s="162" t="s">
        <v>116</v>
      </c>
      <c r="C16" s="160" t="s">
        <v>727</v>
      </c>
      <c r="D16" s="160" t="s">
        <v>31</v>
      </c>
      <c r="E16" s="163" t="s">
        <v>728</v>
      </c>
      <c r="F16" s="160" t="s">
        <v>119</v>
      </c>
      <c r="G16" s="164">
        <v>5</v>
      </c>
      <c r="H16" s="165">
        <v>15750.06</v>
      </c>
      <c r="I16" s="166">
        <v>289.58999999999997</v>
      </c>
      <c r="J16" s="167">
        <f>SUM(H16:I16)</f>
        <v>16039.65</v>
      </c>
      <c r="K16" s="168">
        <f>+H16*G16</f>
        <v>78750.3</v>
      </c>
      <c r="L16" s="169">
        <f>+I16*G16</f>
        <v>1447.9499999999998</v>
      </c>
      <c r="M16" s="170">
        <f t="shared" ref="M16:M18" si="3">TRUNC(SUM(K16:L16),2)</f>
        <v>80198.25</v>
      </c>
      <c r="N16" s="165">
        <f t="shared" ref="N16:O16" si="4">+H16*(1+$T$10)</f>
        <v>19208.773175999999</v>
      </c>
      <c r="O16" s="166">
        <f t="shared" si="4"/>
        <v>353.18396399999995</v>
      </c>
      <c r="P16" s="167">
        <f>TRUNC(SUM(N16:O16),2)</f>
        <v>19561.95</v>
      </c>
      <c r="Q16" s="168">
        <f>+N16*G16</f>
        <v>96043.865879999998</v>
      </c>
      <c r="R16" s="169">
        <f>+O16*G16</f>
        <v>1765.9198199999996</v>
      </c>
      <c r="S16" s="169">
        <f>TRUNC(SUM(Q16:R16),2)</f>
        <v>97809.78</v>
      </c>
      <c r="T16" s="161">
        <f t="shared" si="2"/>
        <v>8.7153214787348887E-2</v>
      </c>
    </row>
    <row r="17" spans="2:20" ht="24.95" customHeight="1" x14ac:dyDescent="0.25">
      <c r="B17" s="162" t="s">
        <v>117</v>
      </c>
      <c r="C17" s="160" t="s">
        <v>118</v>
      </c>
      <c r="D17" s="160" t="s">
        <v>31</v>
      </c>
      <c r="E17" s="163" t="s">
        <v>112</v>
      </c>
      <c r="F17" s="160" t="s">
        <v>119</v>
      </c>
      <c r="G17" s="164">
        <v>5</v>
      </c>
      <c r="H17" s="165">
        <v>4613.07</v>
      </c>
      <c r="I17" s="166">
        <v>385.67</v>
      </c>
      <c r="J17" s="167">
        <f t="shared" ref="J17:J18" si="5">SUM(H17:I17)</f>
        <v>4998.74</v>
      </c>
      <c r="K17" s="168">
        <f>+H17*G17</f>
        <v>23065.35</v>
      </c>
      <c r="L17" s="169">
        <f>+I17*G17</f>
        <v>1928.3500000000001</v>
      </c>
      <c r="M17" s="170">
        <f t="shared" si="3"/>
        <v>24993.7</v>
      </c>
      <c r="N17" s="165">
        <f t="shared" ref="N17:N18" si="6">+H17*(1+$T$10)</f>
        <v>5626.1001719999995</v>
      </c>
      <c r="O17" s="166">
        <f t="shared" ref="O17:O18" si="7">+I17*(1+$T$10)</f>
        <v>470.36313200000001</v>
      </c>
      <c r="P17" s="167">
        <f>TRUNC(SUM(N17:O17),2)</f>
        <v>6096.46</v>
      </c>
      <c r="Q17" s="168">
        <f>+N17*G17</f>
        <v>28130.500859999996</v>
      </c>
      <c r="R17" s="169">
        <f>+O17*G17</f>
        <v>2351.8156600000002</v>
      </c>
      <c r="S17" s="169">
        <f>TRUNC(SUM(Q17:R17),2)</f>
        <v>30482.31</v>
      </c>
      <c r="T17" s="161">
        <f t="shared" si="2"/>
        <v>2.7161203211422753E-2</v>
      </c>
    </row>
    <row r="18" spans="2:20" ht="24.95" customHeight="1" x14ac:dyDescent="0.25">
      <c r="B18" s="162" t="s">
        <v>265</v>
      </c>
      <c r="C18" s="160" t="s">
        <v>1051</v>
      </c>
      <c r="D18" s="160" t="s">
        <v>31</v>
      </c>
      <c r="E18" s="163" t="s">
        <v>1052</v>
      </c>
      <c r="F18" s="160" t="s">
        <v>119</v>
      </c>
      <c r="G18" s="164">
        <v>5</v>
      </c>
      <c r="H18" s="165">
        <v>5098.1899999999996</v>
      </c>
      <c r="I18" s="166">
        <v>303.79000000000002</v>
      </c>
      <c r="J18" s="167">
        <f t="shared" si="5"/>
        <v>5401.98</v>
      </c>
      <c r="K18" s="168">
        <f>+H18*G18</f>
        <v>25490.949999999997</v>
      </c>
      <c r="L18" s="169">
        <f>+I18*G18</f>
        <v>1518.95</v>
      </c>
      <c r="M18" s="170">
        <f t="shared" si="3"/>
        <v>27009.9</v>
      </c>
      <c r="N18" s="165">
        <f t="shared" si="6"/>
        <v>6217.7525239999995</v>
      </c>
      <c r="O18" s="166">
        <f t="shared" si="7"/>
        <v>370.50228400000003</v>
      </c>
      <c r="P18" s="167">
        <f>TRUNC(SUM(N18:O18),2)</f>
        <v>6588.25</v>
      </c>
      <c r="Q18" s="168">
        <f>+N18*G18</f>
        <v>31088.762619999998</v>
      </c>
      <c r="R18" s="169">
        <f>+O18*G18</f>
        <v>1852.5114200000003</v>
      </c>
      <c r="S18" s="169">
        <f>TRUNC(SUM(Q18:R18),2)</f>
        <v>32941.269999999997</v>
      </c>
      <c r="T18" s="161">
        <f t="shared" si="2"/>
        <v>2.9352254750783124E-2</v>
      </c>
    </row>
    <row r="19" spans="2:20" ht="24.95" customHeight="1" x14ac:dyDescent="0.25">
      <c r="B19" s="205"/>
      <c r="C19" s="160"/>
      <c r="D19" s="160"/>
      <c r="E19" s="210"/>
      <c r="F19" s="203"/>
      <c r="G19" s="204"/>
      <c r="H19" s="205"/>
      <c r="I19" s="203"/>
      <c r="J19" s="206"/>
      <c r="K19" s="207"/>
      <c r="L19" s="203"/>
      <c r="M19" s="208"/>
      <c r="N19" s="205">
        <f t="shared" ref="N19:O19" si="8">TRUNC(H19*(1+$T$10),2)</f>
        <v>0</v>
      </c>
      <c r="O19" s="203">
        <f t="shared" si="8"/>
        <v>0</v>
      </c>
      <c r="P19" s="206"/>
      <c r="Q19" s="207"/>
      <c r="R19" s="203"/>
      <c r="S19" s="203"/>
      <c r="T19" s="161">
        <f t="shared" si="2"/>
        <v>0</v>
      </c>
    </row>
    <row r="20" spans="2:20" ht="24.95" customHeight="1" x14ac:dyDescent="0.25">
      <c r="B20" s="326" t="s">
        <v>211</v>
      </c>
      <c r="C20" s="327"/>
      <c r="D20" s="327"/>
      <c r="E20" s="328" t="s">
        <v>107</v>
      </c>
      <c r="F20" s="329"/>
      <c r="G20" s="330"/>
      <c r="H20" s="331"/>
      <c r="I20" s="329"/>
      <c r="J20" s="334"/>
      <c r="K20" s="334">
        <f>SUM(K21:K26)</f>
        <v>7063.14</v>
      </c>
      <c r="L20" s="334">
        <f t="shared" ref="L20:M20" si="9">SUM(L21:L26)</f>
        <v>14417.630000000001</v>
      </c>
      <c r="M20" s="334">
        <f t="shared" si="9"/>
        <v>21480.77</v>
      </c>
      <c r="N20" s="334"/>
      <c r="O20" s="334"/>
      <c r="P20" s="334"/>
      <c r="Q20" s="334">
        <f>SUM(Q21:Q26)</f>
        <v>8614.2055440000004</v>
      </c>
      <c r="R20" s="334">
        <f t="shared" ref="R20" si="10">SUM(R21:R26)</f>
        <v>17583.741547999998</v>
      </c>
      <c r="S20" s="334">
        <f t="shared" ref="S20" si="11">SUM(S21:S26)</f>
        <v>26197.93</v>
      </c>
      <c r="T20" s="333">
        <f t="shared" si="2"/>
        <v>2.3343614721083424E-2</v>
      </c>
    </row>
    <row r="21" spans="2:20" ht="24.95" customHeight="1" x14ac:dyDescent="0.25">
      <c r="B21" s="162" t="s">
        <v>120</v>
      </c>
      <c r="C21" s="160" t="s">
        <v>258</v>
      </c>
      <c r="D21" s="160" t="s">
        <v>124</v>
      </c>
      <c r="E21" s="163" t="s">
        <v>729</v>
      </c>
      <c r="F21" s="160" t="s">
        <v>119</v>
      </c>
      <c r="G21" s="164">
        <v>5</v>
      </c>
      <c r="H21" s="165">
        <v>0</v>
      </c>
      <c r="I21" s="166">
        <v>859.37</v>
      </c>
      <c r="J21" s="167">
        <f>SUM(H21:I21)</f>
        <v>859.37</v>
      </c>
      <c r="K21" s="168">
        <f t="shared" ref="K21:K25" si="12">+H21*G21</f>
        <v>0</v>
      </c>
      <c r="L21" s="169">
        <f t="shared" ref="L21:L25" si="13">+I21*G21</f>
        <v>4296.8500000000004</v>
      </c>
      <c r="M21" s="170">
        <f t="shared" ref="M21:M25" si="14">TRUNC(SUM(K21:L21),2)</f>
        <v>4296.8500000000004</v>
      </c>
      <c r="N21" s="165">
        <f t="shared" ref="N21:N25" si="15">+H21*(1+$T$10)</f>
        <v>0</v>
      </c>
      <c r="O21" s="166">
        <f t="shared" ref="O21:O25" si="16">+I21*(1+$T$10)</f>
        <v>1048.0876519999999</v>
      </c>
      <c r="P21" s="167">
        <f t="shared" ref="P21:P25" si="17">TRUNC(SUM(N21:O21),2)</f>
        <v>1048.08</v>
      </c>
      <c r="Q21" s="168">
        <f t="shared" ref="Q21:Q25" si="18">+N21*G21</f>
        <v>0</v>
      </c>
      <c r="R21" s="169">
        <f t="shared" ref="R21:R25" si="19">+O21*G21</f>
        <v>5240.4382599999999</v>
      </c>
      <c r="S21" s="169">
        <f t="shared" ref="S21:S25" si="20">TRUNC(SUM(Q21:R21),2)</f>
        <v>5240.43</v>
      </c>
      <c r="T21" s="161">
        <f t="shared" si="2"/>
        <v>4.6694749887799232E-3</v>
      </c>
    </row>
    <row r="22" spans="2:20" ht="24.95" customHeight="1" x14ac:dyDescent="0.25">
      <c r="B22" s="162" t="s">
        <v>121</v>
      </c>
      <c r="C22" s="160" t="s">
        <v>259</v>
      </c>
      <c r="D22" s="160" t="s">
        <v>124</v>
      </c>
      <c r="E22" s="163" t="s">
        <v>730</v>
      </c>
      <c r="F22" s="160" t="s">
        <v>119</v>
      </c>
      <c r="G22" s="164">
        <v>5</v>
      </c>
      <c r="H22" s="165">
        <v>0</v>
      </c>
      <c r="I22" s="166">
        <v>1100</v>
      </c>
      <c r="J22" s="167">
        <f t="shared" ref="J22:J25" si="21">SUM(H22:I22)</f>
        <v>1100</v>
      </c>
      <c r="K22" s="168">
        <f t="shared" si="12"/>
        <v>0</v>
      </c>
      <c r="L22" s="169">
        <f t="shared" si="13"/>
        <v>5500</v>
      </c>
      <c r="M22" s="170">
        <f t="shared" si="14"/>
        <v>5500</v>
      </c>
      <c r="N22" s="165">
        <f t="shared" si="15"/>
        <v>0</v>
      </c>
      <c r="O22" s="166">
        <f t="shared" si="16"/>
        <v>1341.56</v>
      </c>
      <c r="P22" s="167">
        <f t="shared" si="17"/>
        <v>1341.56</v>
      </c>
      <c r="Q22" s="168">
        <f t="shared" si="18"/>
        <v>0</v>
      </c>
      <c r="R22" s="169">
        <f t="shared" si="19"/>
        <v>6707.7999999999993</v>
      </c>
      <c r="S22" s="169">
        <f t="shared" si="20"/>
        <v>6707.8</v>
      </c>
      <c r="T22" s="161">
        <f t="shared" si="2"/>
        <v>5.9769721816221128E-3</v>
      </c>
    </row>
    <row r="23" spans="2:20" ht="24.95" customHeight="1" x14ac:dyDescent="0.25">
      <c r="B23" s="162" t="s">
        <v>122</v>
      </c>
      <c r="C23" s="160" t="s">
        <v>123</v>
      </c>
      <c r="D23" s="160" t="s">
        <v>124</v>
      </c>
      <c r="E23" s="163" t="s">
        <v>125</v>
      </c>
      <c r="F23" s="160" t="s">
        <v>126</v>
      </c>
      <c r="G23" s="164">
        <v>120</v>
      </c>
      <c r="H23" s="165">
        <v>0</v>
      </c>
      <c r="I23" s="166">
        <v>10</v>
      </c>
      <c r="J23" s="167">
        <f t="shared" si="21"/>
        <v>10</v>
      </c>
      <c r="K23" s="168">
        <f t="shared" si="12"/>
        <v>0</v>
      </c>
      <c r="L23" s="169">
        <f t="shared" si="13"/>
        <v>1200</v>
      </c>
      <c r="M23" s="170">
        <f t="shared" si="14"/>
        <v>1200</v>
      </c>
      <c r="N23" s="165">
        <f t="shared" si="15"/>
        <v>0</v>
      </c>
      <c r="O23" s="166">
        <f t="shared" si="16"/>
        <v>12.196</v>
      </c>
      <c r="P23" s="167">
        <f t="shared" si="17"/>
        <v>12.19</v>
      </c>
      <c r="Q23" s="168">
        <f t="shared" si="18"/>
        <v>0</v>
      </c>
      <c r="R23" s="169">
        <f t="shared" si="19"/>
        <v>1463.52</v>
      </c>
      <c r="S23" s="169">
        <f t="shared" si="20"/>
        <v>1463.52</v>
      </c>
      <c r="T23" s="161">
        <f t="shared" si="2"/>
        <v>1.3040666578084609E-3</v>
      </c>
    </row>
    <row r="24" spans="2:20" ht="24.95" customHeight="1" x14ac:dyDescent="0.25">
      <c r="B24" s="162" t="s">
        <v>248</v>
      </c>
      <c r="C24" s="160" t="s">
        <v>127</v>
      </c>
      <c r="D24" s="160" t="s">
        <v>31</v>
      </c>
      <c r="E24" s="163" t="s">
        <v>108</v>
      </c>
      <c r="F24" s="160" t="s">
        <v>8</v>
      </c>
      <c r="G24" s="164">
        <v>1800</v>
      </c>
      <c r="H24" s="165">
        <v>3.89</v>
      </c>
      <c r="I24" s="166">
        <v>1.53</v>
      </c>
      <c r="J24" s="167">
        <f t="shared" si="21"/>
        <v>5.42</v>
      </c>
      <c r="K24" s="168">
        <f t="shared" si="12"/>
        <v>7002</v>
      </c>
      <c r="L24" s="169">
        <f t="shared" si="13"/>
        <v>2754</v>
      </c>
      <c r="M24" s="170">
        <f t="shared" si="14"/>
        <v>9756</v>
      </c>
      <c r="N24" s="165">
        <f t="shared" si="15"/>
        <v>4.7442440000000001</v>
      </c>
      <c r="O24" s="166">
        <f t="shared" si="16"/>
        <v>1.865988</v>
      </c>
      <c r="P24" s="167">
        <f t="shared" si="17"/>
        <v>6.61</v>
      </c>
      <c r="Q24" s="168">
        <f t="shared" si="18"/>
        <v>8539.6391999999996</v>
      </c>
      <c r="R24" s="169">
        <f t="shared" si="19"/>
        <v>3358.7784000000001</v>
      </c>
      <c r="S24" s="169">
        <f t="shared" si="20"/>
        <v>11898.41</v>
      </c>
      <c r="T24" s="161">
        <f t="shared" si="2"/>
        <v>1.0602055156017526E-2</v>
      </c>
    </row>
    <row r="25" spans="2:20" ht="24.95" customHeight="1" x14ac:dyDescent="0.25">
      <c r="B25" s="162" t="s">
        <v>249</v>
      </c>
      <c r="C25" s="160" t="s">
        <v>731</v>
      </c>
      <c r="D25" s="160" t="s">
        <v>124</v>
      </c>
      <c r="E25" s="163" t="s">
        <v>726</v>
      </c>
      <c r="F25" s="160" t="s">
        <v>2</v>
      </c>
      <c r="G25" s="164">
        <v>1.5</v>
      </c>
      <c r="H25" s="165">
        <v>40.76</v>
      </c>
      <c r="I25" s="166">
        <v>288.89999999999998</v>
      </c>
      <c r="J25" s="167">
        <f t="shared" si="21"/>
        <v>329.65999999999997</v>
      </c>
      <c r="K25" s="168">
        <f t="shared" si="12"/>
        <v>61.14</v>
      </c>
      <c r="L25" s="169">
        <f t="shared" si="13"/>
        <v>433.34999999999997</v>
      </c>
      <c r="M25" s="170">
        <f t="shared" si="14"/>
        <v>494.49</v>
      </c>
      <c r="N25" s="165">
        <f t="shared" si="15"/>
        <v>49.710895999999998</v>
      </c>
      <c r="O25" s="166">
        <f t="shared" si="16"/>
        <v>352.34243999999995</v>
      </c>
      <c r="P25" s="167">
        <f t="shared" si="17"/>
        <v>402.05</v>
      </c>
      <c r="Q25" s="168">
        <f t="shared" si="18"/>
        <v>74.566344000000001</v>
      </c>
      <c r="R25" s="169">
        <f t="shared" si="19"/>
        <v>528.51365999999996</v>
      </c>
      <c r="S25" s="169">
        <f t="shared" si="20"/>
        <v>603.08000000000004</v>
      </c>
      <c r="T25" s="161">
        <f t="shared" si="2"/>
        <v>5.3737326445222938E-4</v>
      </c>
    </row>
    <row r="26" spans="2:20" ht="24.95" customHeight="1" x14ac:dyDescent="0.25">
      <c r="B26" s="205" t="s">
        <v>1318</v>
      </c>
      <c r="C26" s="160" t="s">
        <v>1272</v>
      </c>
      <c r="D26" s="160" t="s">
        <v>124</v>
      </c>
      <c r="E26" s="210" t="s">
        <v>1273</v>
      </c>
      <c r="F26" s="203" t="s">
        <v>22</v>
      </c>
      <c r="G26" s="204">
        <v>1</v>
      </c>
      <c r="H26" s="205">
        <v>0</v>
      </c>
      <c r="I26" s="203">
        <v>233.43</v>
      </c>
      <c r="J26" s="167">
        <f t="shared" ref="J26" si="22">SUM(H26:I26)</f>
        <v>233.43</v>
      </c>
      <c r="K26" s="168">
        <f t="shared" ref="K26" si="23">+H26*G26</f>
        <v>0</v>
      </c>
      <c r="L26" s="169">
        <f t="shared" ref="L26" si="24">+I26*G26</f>
        <v>233.43</v>
      </c>
      <c r="M26" s="170">
        <f t="shared" ref="M26" si="25">TRUNC(SUM(K26:L26),2)</f>
        <v>233.43</v>
      </c>
      <c r="N26" s="165">
        <f t="shared" ref="N26" si="26">+H26*(1+$T$10)</f>
        <v>0</v>
      </c>
      <c r="O26" s="166">
        <f t="shared" ref="O26" si="27">+I26*(1+$T$10)</f>
        <v>284.69122800000002</v>
      </c>
      <c r="P26" s="167">
        <f t="shared" ref="P26" si="28">TRUNC(SUM(N26:O26),2)</f>
        <v>284.69</v>
      </c>
      <c r="Q26" s="168">
        <f t="shared" ref="Q26" si="29">+N26*G26</f>
        <v>0</v>
      </c>
      <c r="R26" s="169">
        <f t="shared" ref="R26" si="30">+O26*G26</f>
        <v>284.69122800000002</v>
      </c>
      <c r="S26" s="169">
        <f t="shared" ref="S26" si="31">TRUNC(SUM(Q26:R26),2)</f>
        <v>284.69</v>
      </c>
      <c r="T26" s="161">
        <f t="shared" si="2"/>
        <v>2.5367247240317233E-4</v>
      </c>
    </row>
    <row r="27" spans="2:20" ht="24.95" customHeight="1" x14ac:dyDescent="0.25">
      <c r="B27" s="205"/>
      <c r="C27" s="160"/>
      <c r="D27" s="160"/>
      <c r="E27" s="210"/>
      <c r="F27" s="203"/>
      <c r="G27" s="204"/>
      <c r="H27" s="205"/>
      <c r="I27" s="203"/>
      <c r="J27" s="206"/>
      <c r="K27" s="207"/>
      <c r="L27" s="207"/>
      <c r="M27" s="413"/>
      <c r="N27" s="205"/>
      <c r="O27" s="203"/>
      <c r="P27" s="206"/>
      <c r="Q27" s="207"/>
      <c r="R27" s="207"/>
      <c r="S27" s="207"/>
      <c r="T27" s="161"/>
    </row>
    <row r="28" spans="2:20" ht="24.95" customHeight="1" x14ac:dyDescent="0.25">
      <c r="B28" s="326">
        <v>3</v>
      </c>
      <c r="C28" s="327"/>
      <c r="D28" s="327"/>
      <c r="E28" s="328" t="s">
        <v>106</v>
      </c>
      <c r="F28" s="329"/>
      <c r="G28" s="330"/>
      <c r="H28" s="331"/>
      <c r="I28" s="329"/>
      <c r="J28" s="332"/>
      <c r="K28" s="337">
        <f>SUM(K29:K36)</f>
        <v>23854.508000000002</v>
      </c>
      <c r="L28" s="337">
        <f>SUM(L29:L36)</f>
        <v>18091.180249999998</v>
      </c>
      <c r="M28" s="337">
        <f>SUM(M29:M36)</f>
        <v>41945.670000000006</v>
      </c>
      <c r="N28" s="338">
        <f t="shared" ref="N28:N63" si="32">+H28*(1+$T$10)</f>
        <v>0</v>
      </c>
      <c r="O28" s="339">
        <f t="shared" ref="O28:O63" si="33">+I28*(1+$T$10)</f>
        <v>0</v>
      </c>
      <c r="P28" s="340"/>
      <c r="Q28" s="337">
        <f>SUM(Q29:Q36)</f>
        <v>29092.957956799997</v>
      </c>
      <c r="R28" s="337">
        <f>SUM(R29:R36)</f>
        <v>22064.003432900005</v>
      </c>
      <c r="S28" s="337">
        <f>SUM(S29:S36)</f>
        <v>51156.930000000015</v>
      </c>
      <c r="T28" s="333">
        <f t="shared" ref="T28:T36" si="34">+S28/$S$201</f>
        <v>4.5583283268312978E-2</v>
      </c>
    </row>
    <row r="29" spans="2:20" ht="24.95" customHeight="1" x14ac:dyDescent="0.25">
      <c r="B29" s="162" t="s">
        <v>128</v>
      </c>
      <c r="C29" s="160" t="s">
        <v>732</v>
      </c>
      <c r="D29" s="171" t="s">
        <v>212</v>
      </c>
      <c r="E29" s="163" t="s">
        <v>719</v>
      </c>
      <c r="F29" s="160" t="s">
        <v>2</v>
      </c>
      <c r="G29" s="164">
        <v>2129.4650000000001</v>
      </c>
      <c r="H29" s="165">
        <v>8.1999999999999993</v>
      </c>
      <c r="I29" s="166">
        <v>3.45</v>
      </c>
      <c r="J29" s="167">
        <f t="shared" ref="J29" si="35">TRUNC(SUM(H29:I29),2)</f>
        <v>11.65</v>
      </c>
      <c r="K29" s="168">
        <f t="shared" ref="K29:K30" si="36">+H29*G29</f>
        <v>17461.613000000001</v>
      </c>
      <c r="L29" s="169">
        <f t="shared" ref="L29:L30" si="37">+I29*G29</f>
        <v>7346.6542500000005</v>
      </c>
      <c r="M29" s="170">
        <f t="shared" ref="M29:M30" si="38">TRUNC(SUM(K29:L29),2)</f>
        <v>24808.26</v>
      </c>
      <c r="N29" s="165">
        <f t="shared" si="32"/>
        <v>10.000719999999999</v>
      </c>
      <c r="O29" s="166">
        <f t="shared" si="33"/>
        <v>4.2076200000000004</v>
      </c>
      <c r="P29" s="167">
        <f t="shared" ref="P29:P30" si="39">TRUNC(SUM(N29:O29),2)</f>
        <v>14.2</v>
      </c>
      <c r="Q29" s="168">
        <f t="shared" ref="Q29:Q30" si="40">+N29*G29</f>
        <v>21296.183214799999</v>
      </c>
      <c r="R29" s="169">
        <f t="shared" ref="R29:R30" si="41">+O29*G29</f>
        <v>8959.9795233000023</v>
      </c>
      <c r="S29" s="169">
        <f t="shared" ref="S29:S30" si="42">TRUNC(SUM(Q29:R29),2)</f>
        <v>30256.16</v>
      </c>
      <c r="T29" s="161">
        <f t="shared" si="34"/>
        <v>2.6959692692493469E-2</v>
      </c>
    </row>
    <row r="30" spans="2:20" ht="24.95" customHeight="1" x14ac:dyDescent="0.25">
      <c r="B30" s="162" t="s">
        <v>129</v>
      </c>
      <c r="C30" s="160" t="s">
        <v>398</v>
      </c>
      <c r="D30" s="171" t="s">
        <v>212</v>
      </c>
      <c r="E30" s="163" t="s">
        <v>399</v>
      </c>
      <c r="F30" s="160" t="s">
        <v>22</v>
      </c>
      <c r="G30" s="164">
        <v>25</v>
      </c>
      <c r="H30" s="165">
        <v>0</v>
      </c>
      <c r="I30" s="166">
        <v>350</v>
      </c>
      <c r="J30" s="167">
        <f>TRUNC(SUM(H30:I30),2)</f>
        <v>350</v>
      </c>
      <c r="K30" s="168">
        <f t="shared" si="36"/>
        <v>0</v>
      </c>
      <c r="L30" s="169">
        <f t="shared" si="37"/>
        <v>8750</v>
      </c>
      <c r="M30" s="170">
        <f t="shared" si="38"/>
        <v>8750</v>
      </c>
      <c r="N30" s="165">
        <f t="shared" si="32"/>
        <v>0</v>
      </c>
      <c r="O30" s="166">
        <f t="shared" si="33"/>
        <v>426.86</v>
      </c>
      <c r="P30" s="167">
        <f t="shared" si="39"/>
        <v>426.86</v>
      </c>
      <c r="Q30" s="168">
        <f t="shared" si="40"/>
        <v>0</v>
      </c>
      <c r="R30" s="169">
        <f t="shared" si="41"/>
        <v>10671.5</v>
      </c>
      <c r="S30" s="169">
        <f t="shared" si="42"/>
        <v>10671.5</v>
      </c>
      <c r="T30" s="161">
        <f t="shared" si="34"/>
        <v>9.5088193798533605E-3</v>
      </c>
    </row>
    <row r="31" spans="2:20" ht="24.95" customHeight="1" x14ac:dyDescent="0.25">
      <c r="B31" s="162" t="s">
        <v>1319</v>
      </c>
      <c r="C31" s="160" t="s">
        <v>1320</v>
      </c>
      <c r="D31" s="171" t="s">
        <v>31</v>
      </c>
      <c r="E31" s="163" t="s">
        <v>1321</v>
      </c>
      <c r="F31" s="160" t="s">
        <v>22</v>
      </c>
      <c r="G31" s="164">
        <f>SUM(G112:G113)</f>
        <v>285</v>
      </c>
      <c r="H31" s="165">
        <v>0.72</v>
      </c>
      <c r="I31" s="166">
        <v>0.31</v>
      </c>
      <c r="J31" s="167">
        <f t="shared" ref="J31:J36" si="43">TRUNC(SUM(H31:I31),2)</f>
        <v>1.03</v>
      </c>
      <c r="K31" s="168">
        <f t="shared" ref="K31:K36" si="44">+H31*G31</f>
        <v>205.2</v>
      </c>
      <c r="L31" s="169">
        <f t="shared" ref="L31:L36" si="45">+I31*G31</f>
        <v>88.35</v>
      </c>
      <c r="M31" s="170">
        <f t="shared" ref="M31:M36" si="46">TRUNC(SUM(K31:L31),2)</f>
        <v>293.55</v>
      </c>
      <c r="N31" s="165">
        <f t="shared" ref="N31:N36" si="47">+H31*(1+$T$10)</f>
        <v>0.878112</v>
      </c>
      <c r="O31" s="166">
        <f t="shared" ref="O31:O36" si="48">+I31*(1+$T$10)</f>
        <v>0.37807600000000002</v>
      </c>
      <c r="P31" s="167">
        <f t="shared" ref="P31:P36" si="49">TRUNC(SUM(N31:O31),2)</f>
        <v>1.25</v>
      </c>
      <c r="Q31" s="168">
        <f t="shared" ref="Q31:Q36" si="50">+N31*G31</f>
        <v>250.26192</v>
      </c>
      <c r="R31" s="169">
        <f t="shared" ref="R31:R36" si="51">+O31*G31</f>
        <v>107.75166</v>
      </c>
      <c r="S31" s="169">
        <f t="shared" ref="S31:S36" si="52">TRUNC(SUM(Q31:R31),2)</f>
        <v>358.01</v>
      </c>
      <c r="T31" s="161">
        <f t="shared" si="34"/>
        <v>3.1900411621433743E-4</v>
      </c>
    </row>
    <row r="32" spans="2:20" ht="24.95" customHeight="1" x14ac:dyDescent="0.25">
      <c r="B32" s="162" t="s">
        <v>1322</v>
      </c>
      <c r="C32" s="160" t="s">
        <v>1323</v>
      </c>
      <c r="D32" s="171" t="s">
        <v>264</v>
      </c>
      <c r="E32" s="163" t="s">
        <v>1324</v>
      </c>
      <c r="F32" s="160" t="s">
        <v>22</v>
      </c>
      <c r="G32" s="164">
        <f>G31</f>
        <v>285</v>
      </c>
      <c r="H32" s="165">
        <v>3.34</v>
      </c>
      <c r="I32" s="166">
        <v>0</v>
      </c>
      <c r="J32" s="167">
        <f t="shared" si="43"/>
        <v>3.34</v>
      </c>
      <c r="K32" s="168">
        <f t="shared" si="44"/>
        <v>951.9</v>
      </c>
      <c r="L32" s="169">
        <f t="shared" si="45"/>
        <v>0</v>
      </c>
      <c r="M32" s="170">
        <f t="shared" si="46"/>
        <v>951.9</v>
      </c>
      <c r="N32" s="165">
        <f t="shared" si="47"/>
        <v>4.0734639999999995</v>
      </c>
      <c r="O32" s="166">
        <f t="shared" si="48"/>
        <v>0</v>
      </c>
      <c r="P32" s="167">
        <f t="shared" si="49"/>
        <v>4.07</v>
      </c>
      <c r="Q32" s="168">
        <f t="shared" si="50"/>
        <v>1160.93724</v>
      </c>
      <c r="R32" s="169">
        <f t="shared" si="51"/>
        <v>0</v>
      </c>
      <c r="S32" s="169">
        <f t="shared" si="52"/>
        <v>1160.93</v>
      </c>
      <c r="T32" s="161">
        <f t="shared" si="34"/>
        <v>1.0344444251186022E-3</v>
      </c>
    </row>
    <row r="33" spans="2:20" ht="24.95" customHeight="1" x14ac:dyDescent="0.25">
      <c r="B33" s="162" t="s">
        <v>1325</v>
      </c>
      <c r="C33" s="160" t="s">
        <v>1326</v>
      </c>
      <c r="D33" s="171" t="s">
        <v>31</v>
      </c>
      <c r="E33" s="163" t="s">
        <v>1327</v>
      </c>
      <c r="F33" s="160" t="s">
        <v>22</v>
      </c>
      <c r="G33" s="164">
        <f>SUM(G64:G69)</f>
        <v>481</v>
      </c>
      <c r="H33" s="165">
        <v>0.38</v>
      </c>
      <c r="I33" s="166">
        <v>0.15</v>
      </c>
      <c r="J33" s="167">
        <f t="shared" si="43"/>
        <v>0.53</v>
      </c>
      <c r="K33" s="168">
        <f t="shared" si="44"/>
        <v>182.78</v>
      </c>
      <c r="L33" s="169">
        <f t="shared" si="45"/>
        <v>72.149999999999991</v>
      </c>
      <c r="M33" s="170">
        <f t="shared" si="46"/>
        <v>254.93</v>
      </c>
      <c r="N33" s="165">
        <f t="shared" si="47"/>
        <v>0.46344800000000003</v>
      </c>
      <c r="O33" s="166">
        <f t="shared" si="48"/>
        <v>0.18293999999999999</v>
      </c>
      <c r="P33" s="167">
        <f t="shared" si="49"/>
        <v>0.64</v>
      </c>
      <c r="Q33" s="168">
        <f t="shared" si="50"/>
        <v>222.91848800000002</v>
      </c>
      <c r="R33" s="169">
        <f t="shared" si="51"/>
        <v>87.994140000000002</v>
      </c>
      <c r="S33" s="169">
        <f t="shared" si="52"/>
        <v>310.91000000000003</v>
      </c>
      <c r="T33" s="161">
        <f t="shared" si="34"/>
        <v>2.770357525549556E-4</v>
      </c>
    </row>
    <row r="34" spans="2:20" ht="24.95" customHeight="1" x14ac:dyDescent="0.25">
      <c r="B34" s="162" t="s">
        <v>1328</v>
      </c>
      <c r="C34" s="455" t="s">
        <v>1612</v>
      </c>
      <c r="D34" s="171" t="s">
        <v>124</v>
      </c>
      <c r="E34" s="163" t="s">
        <v>1355</v>
      </c>
      <c r="F34" s="160" t="s">
        <v>35</v>
      </c>
      <c r="G34" s="427">
        <f>SUM(G54:G58)</f>
        <v>15896.7</v>
      </c>
      <c r="H34" s="453">
        <v>0.27</v>
      </c>
      <c r="I34" s="454">
        <v>0.1</v>
      </c>
      <c r="J34" s="167">
        <f t="shared" si="43"/>
        <v>0.37</v>
      </c>
      <c r="K34" s="168">
        <f t="shared" si="44"/>
        <v>4292.1090000000004</v>
      </c>
      <c r="L34" s="169">
        <f t="shared" si="45"/>
        <v>1589.67</v>
      </c>
      <c r="M34" s="415">
        <f t="shared" si="46"/>
        <v>5881.77</v>
      </c>
      <c r="N34" s="165">
        <f t="shared" si="47"/>
        <v>0.32929200000000003</v>
      </c>
      <c r="O34" s="166">
        <f t="shared" si="48"/>
        <v>0.12196000000000001</v>
      </c>
      <c r="P34" s="167">
        <f t="shared" si="49"/>
        <v>0.45</v>
      </c>
      <c r="Q34" s="168">
        <f t="shared" si="50"/>
        <v>5234.6561364000008</v>
      </c>
      <c r="R34" s="169">
        <f t="shared" si="51"/>
        <v>1938.7615320000002</v>
      </c>
      <c r="S34" s="169">
        <f t="shared" si="52"/>
        <v>7173.41</v>
      </c>
      <c r="T34" s="416">
        <f t="shared" si="34"/>
        <v>6.391853069168711E-3</v>
      </c>
    </row>
    <row r="35" spans="2:20" ht="24.95" customHeight="1" x14ac:dyDescent="0.25">
      <c r="B35" s="162" t="s">
        <v>1329</v>
      </c>
      <c r="C35" s="160" t="s">
        <v>1330</v>
      </c>
      <c r="D35" s="171" t="s">
        <v>175</v>
      </c>
      <c r="E35" s="163" t="s">
        <v>1331</v>
      </c>
      <c r="F35" s="160" t="s">
        <v>225</v>
      </c>
      <c r="G35" s="164">
        <f>G117+G118</f>
        <v>8</v>
      </c>
      <c r="H35" s="165">
        <v>28.06</v>
      </c>
      <c r="I35" s="166">
        <v>7.15</v>
      </c>
      <c r="J35" s="167">
        <f t="shared" si="43"/>
        <v>35.21</v>
      </c>
      <c r="K35" s="168">
        <f t="shared" si="44"/>
        <v>224.48</v>
      </c>
      <c r="L35" s="169">
        <f t="shared" si="45"/>
        <v>57.2</v>
      </c>
      <c r="M35" s="170">
        <f t="shared" si="46"/>
        <v>281.68</v>
      </c>
      <c r="N35" s="165">
        <f t="shared" si="47"/>
        <v>34.221975999999998</v>
      </c>
      <c r="O35" s="166">
        <f t="shared" si="48"/>
        <v>8.7201400000000007</v>
      </c>
      <c r="P35" s="167">
        <f t="shared" si="49"/>
        <v>42.94</v>
      </c>
      <c r="Q35" s="168">
        <f t="shared" si="50"/>
        <v>273.77580799999998</v>
      </c>
      <c r="R35" s="169">
        <f t="shared" si="51"/>
        <v>69.761120000000005</v>
      </c>
      <c r="S35" s="169">
        <f t="shared" si="52"/>
        <v>343.53</v>
      </c>
      <c r="T35" s="161">
        <f t="shared" si="34"/>
        <v>3.0610174029527476E-4</v>
      </c>
    </row>
    <row r="36" spans="2:20" ht="24.95" customHeight="1" x14ac:dyDescent="0.25">
      <c r="B36" s="162" t="s">
        <v>1332</v>
      </c>
      <c r="C36" s="160" t="s">
        <v>1356</v>
      </c>
      <c r="D36" s="171" t="s">
        <v>31</v>
      </c>
      <c r="E36" s="163" t="s">
        <v>1357</v>
      </c>
      <c r="F36" s="160" t="s">
        <v>35</v>
      </c>
      <c r="G36" s="427">
        <v>131.80000000000001</v>
      </c>
      <c r="H36" s="453">
        <v>4.07</v>
      </c>
      <c r="I36" s="454">
        <f>5.49-H36</f>
        <v>1.42</v>
      </c>
      <c r="J36" s="167">
        <f t="shared" si="43"/>
        <v>5.49</v>
      </c>
      <c r="K36" s="168">
        <f t="shared" si="44"/>
        <v>536.42600000000004</v>
      </c>
      <c r="L36" s="169">
        <f t="shared" si="45"/>
        <v>187.15600000000001</v>
      </c>
      <c r="M36" s="170">
        <f t="shared" si="46"/>
        <v>723.58</v>
      </c>
      <c r="N36" s="165">
        <f t="shared" si="47"/>
        <v>4.9637720000000005</v>
      </c>
      <c r="O36" s="166">
        <f t="shared" si="48"/>
        <v>1.731832</v>
      </c>
      <c r="P36" s="167">
        <f t="shared" si="49"/>
        <v>6.69</v>
      </c>
      <c r="Q36" s="168">
        <f t="shared" si="50"/>
        <v>654.22514960000012</v>
      </c>
      <c r="R36" s="169">
        <f t="shared" si="51"/>
        <v>228.25545760000003</v>
      </c>
      <c r="S36" s="169">
        <f t="shared" si="52"/>
        <v>882.48</v>
      </c>
      <c r="T36" s="161">
        <f t="shared" si="34"/>
        <v>7.8633209261425236E-4</v>
      </c>
    </row>
    <row r="37" spans="2:20" ht="24.95" customHeight="1" x14ac:dyDescent="0.25">
      <c r="B37" s="162"/>
      <c r="C37" s="160"/>
      <c r="D37" s="171"/>
      <c r="E37" s="163"/>
      <c r="F37" s="160"/>
      <c r="G37" s="164"/>
      <c r="H37" s="165"/>
      <c r="I37" s="166"/>
      <c r="J37" s="167"/>
      <c r="K37" s="168"/>
      <c r="L37" s="169"/>
      <c r="M37" s="170"/>
      <c r="N37" s="165"/>
      <c r="O37" s="166"/>
      <c r="P37" s="167"/>
      <c r="Q37" s="168"/>
      <c r="R37" s="169"/>
      <c r="S37" s="169"/>
      <c r="T37" s="161"/>
    </row>
    <row r="38" spans="2:20" ht="24.95" customHeight="1" x14ac:dyDescent="0.25">
      <c r="B38" s="326" t="s">
        <v>252</v>
      </c>
      <c r="C38" s="327"/>
      <c r="D38" s="327"/>
      <c r="E38" s="328" t="s">
        <v>224</v>
      </c>
      <c r="F38" s="329"/>
      <c r="G38" s="330"/>
      <c r="H38" s="331"/>
      <c r="I38" s="329"/>
      <c r="J38" s="332"/>
      <c r="K38" s="337">
        <f>SUM(K39)</f>
        <v>13070.666400000002</v>
      </c>
      <c r="L38" s="337">
        <f t="shared" ref="L38:M38" si="53">SUM(L39)</f>
        <v>18245.270400000001</v>
      </c>
      <c r="M38" s="337">
        <f t="shared" si="53"/>
        <v>31315.93</v>
      </c>
      <c r="N38" s="331">
        <f t="shared" si="32"/>
        <v>0</v>
      </c>
      <c r="O38" s="329">
        <f t="shared" si="33"/>
        <v>0</v>
      </c>
      <c r="P38" s="332"/>
      <c r="Q38" s="337">
        <f>SUM(Q39)</f>
        <v>15940.984741440001</v>
      </c>
      <c r="R38" s="337">
        <f t="shared" ref="R38" si="54">SUM(R39)</f>
        <v>22251.931779840001</v>
      </c>
      <c r="S38" s="337">
        <f t="shared" ref="S38" si="55">SUM(S39)</f>
        <v>38192.910000000003</v>
      </c>
      <c r="T38" s="333">
        <f t="shared" ref="T38:T58" si="56">+S38/$S$201</f>
        <v>3.4031718388323598E-2</v>
      </c>
    </row>
    <row r="39" spans="2:20" ht="24.95" customHeight="1" x14ac:dyDescent="0.25">
      <c r="B39" s="162" t="s">
        <v>130</v>
      </c>
      <c r="C39" s="160" t="s">
        <v>733</v>
      </c>
      <c r="D39" s="171" t="s">
        <v>124</v>
      </c>
      <c r="E39" s="163" t="s">
        <v>569</v>
      </c>
      <c r="F39" s="160" t="s">
        <v>2</v>
      </c>
      <c r="G39" s="164">
        <v>1277.68</v>
      </c>
      <c r="H39" s="165">
        <v>10.23</v>
      </c>
      <c r="I39" s="166">
        <v>14.28</v>
      </c>
      <c r="J39" s="167">
        <f>TRUNC(SUM(H39:I39),2)</f>
        <v>24.51</v>
      </c>
      <c r="K39" s="168">
        <f>+H39*G39</f>
        <v>13070.666400000002</v>
      </c>
      <c r="L39" s="169">
        <f>+I39*G39</f>
        <v>18245.270400000001</v>
      </c>
      <c r="M39" s="170">
        <f t="shared" ref="M39" si="57">TRUNC(SUM(K39:L39),2)</f>
        <v>31315.93</v>
      </c>
      <c r="N39" s="165">
        <f t="shared" si="32"/>
        <v>12.476508000000001</v>
      </c>
      <c r="O39" s="166">
        <f t="shared" si="33"/>
        <v>17.415887999999999</v>
      </c>
      <c r="P39" s="167">
        <f>TRUNC(SUM(N39:O39),2)</f>
        <v>29.89</v>
      </c>
      <c r="Q39" s="168">
        <f>+N39*G39</f>
        <v>15940.984741440001</v>
      </c>
      <c r="R39" s="169">
        <f>+O39*G39</f>
        <v>22251.931779840001</v>
      </c>
      <c r="S39" s="169">
        <f>TRUNC(SUM(Q39:R39),2)</f>
        <v>38192.910000000003</v>
      </c>
      <c r="T39" s="161">
        <f t="shared" si="56"/>
        <v>3.4031718388323598E-2</v>
      </c>
    </row>
    <row r="40" spans="2:20" ht="24.95" customHeight="1" x14ac:dyDescent="0.25">
      <c r="B40" s="205"/>
      <c r="C40" s="160"/>
      <c r="D40" s="160"/>
      <c r="E40" s="163"/>
      <c r="F40" s="203"/>
      <c r="G40" s="204"/>
      <c r="H40" s="205"/>
      <c r="I40" s="203"/>
      <c r="J40" s="206"/>
      <c r="K40" s="207"/>
      <c r="L40" s="203"/>
      <c r="M40" s="208"/>
      <c r="N40" s="205">
        <f t="shared" si="32"/>
        <v>0</v>
      </c>
      <c r="O40" s="203">
        <f t="shared" si="33"/>
        <v>0</v>
      </c>
      <c r="P40" s="206"/>
      <c r="Q40" s="207"/>
      <c r="R40" s="203"/>
      <c r="S40" s="203"/>
      <c r="T40" s="161">
        <f t="shared" si="56"/>
        <v>0</v>
      </c>
    </row>
    <row r="41" spans="2:20" ht="24.95" customHeight="1" x14ac:dyDescent="0.25">
      <c r="B41" s="326" t="s">
        <v>253</v>
      </c>
      <c r="C41" s="327"/>
      <c r="D41" s="327"/>
      <c r="E41" s="328" t="s">
        <v>207</v>
      </c>
      <c r="F41" s="329"/>
      <c r="G41" s="330"/>
      <c r="H41" s="331"/>
      <c r="I41" s="329"/>
      <c r="J41" s="332"/>
      <c r="K41" s="337">
        <f>K42+K53</f>
        <v>26140.698</v>
      </c>
      <c r="L41" s="337">
        <f>L42+L53</f>
        <v>83315.11</v>
      </c>
      <c r="M41" s="337">
        <f>M42+M53</f>
        <v>109455.79000000001</v>
      </c>
      <c r="N41" s="331">
        <f t="shared" si="32"/>
        <v>0</v>
      </c>
      <c r="O41" s="329">
        <f t="shared" si="33"/>
        <v>0</v>
      </c>
      <c r="P41" s="332"/>
      <c r="Q41" s="337">
        <f>Q42+Q53</f>
        <v>31881.195280800002</v>
      </c>
      <c r="R41" s="337">
        <f>R42+R53</f>
        <v>101611.108156</v>
      </c>
      <c r="S41" s="337">
        <f>S42+S53</f>
        <v>133492.24</v>
      </c>
      <c r="T41" s="333">
        <f t="shared" si="56"/>
        <v>0.11894800157166621</v>
      </c>
    </row>
    <row r="42" spans="2:20" ht="24.95" customHeight="1" x14ac:dyDescent="0.25">
      <c r="B42" s="341" t="s">
        <v>254</v>
      </c>
      <c r="C42" s="342"/>
      <c r="D42" s="342"/>
      <c r="E42" s="343" t="s">
        <v>840</v>
      </c>
      <c r="F42" s="344"/>
      <c r="G42" s="345"/>
      <c r="H42" s="346"/>
      <c r="I42" s="344"/>
      <c r="J42" s="347"/>
      <c r="K42" s="348">
        <f>SUM(K43:K51)</f>
        <v>3865.9800000000005</v>
      </c>
      <c r="L42" s="348">
        <f>SUM(L43:L51)</f>
        <v>4905.51</v>
      </c>
      <c r="M42" s="348">
        <f>SUM(M43:M51)</f>
        <v>8771.49</v>
      </c>
      <c r="N42" s="346">
        <f t="shared" si="32"/>
        <v>0</v>
      </c>
      <c r="O42" s="344">
        <f t="shared" si="33"/>
        <v>0</v>
      </c>
      <c r="P42" s="347"/>
      <c r="Q42" s="348">
        <f>SUM(Q43:Q51)</f>
        <v>4714.9492080000009</v>
      </c>
      <c r="R42" s="348">
        <f>SUM(R43:R51)</f>
        <v>5982.7599960000007</v>
      </c>
      <c r="S42" s="348">
        <f>SUM(S43:S51)</f>
        <v>10697.67</v>
      </c>
      <c r="T42" s="349">
        <f t="shared" si="56"/>
        <v>9.5321381076021085E-3</v>
      </c>
    </row>
    <row r="43" spans="2:20" ht="24.95" customHeight="1" x14ac:dyDescent="0.25">
      <c r="B43" s="162" t="s">
        <v>131</v>
      </c>
      <c r="C43" s="160" t="s">
        <v>841</v>
      </c>
      <c r="D43" s="171" t="s">
        <v>842</v>
      </c>
      <c r="E43" s="163" t="s">
        <v>843</v>
      </c>
      <c r="F43" s="160" t="s">
        <v>22</v>
      </c>
      <c r="G43" s="164">
        <v>22</v>
      </c>
      <c r="H43" s="165">
        <v>4.88</v>
      </c>
      <c r="I43" s="166">
        <v>5.29</v>
      </c>
      <c r="J43" s="167">
        <f t="shared" ref="J43:J82" si="58">TRUNC(SUM(H43:I43),2)</f>
        <v>10.17</v>
      </c>
      <c r="K43" s="168">
        <f>+H43*G43</f>
        <v>107.36</v>
      </c>
      <c r="L43" s="169">
        <f>+I43*G43</f>
        <v>116.38</v>
      </c>
      <c r="M43" s="170">
        <f t="shared" ref="M43:M50" si="59">TRUNC(SUM(K43:L43),2)</f>
        <v>223.74</v>
      </c>
      <c r="N43" s="165">
        <f t="shared" si="32"/>
        <v>5.9516479999999996</v>
      </c>
      <c r="O43" s="166">
        <f t="shared" si="33"/>
        <v>6.4516840000000002</v>
      </c>
      <c r="P43" s="167">
        <f t="shared" ref="P43:P82" si="60">TRUNC(SUM(N43:O43),2)</f>
        <v>12.4</v>
      </c>
      <c r="Q43" s="168">
        <f t="shared" ref="Q43:Q82" si="61">+N43*G43</f>
        <v>130.93625599999999</v>
      </c>
      <c r="R43" s="169">
        <f t="shared" ref="R43:R82" si="62">+O43*G43</f>
        <v>141.937048</v>
      </c>
      <c r="S43" s="169">
        <f t="shared" ref="S43:S82" si="63">TRUNC(SUM(Q43:R43),2)</f>
        <v>272.87</v>
      </c>
      <c r="T43" s="161">
        <f t="shared" si="56"/>
        <v>2.4314028432559498E-4</v>
      </c>
    </row>
    <row r="44" spans="2:20" ht="39.950000000000003" customHeight="1" x14ac:dyDescent="0.25">
      <c r="B44" s="162" t="s">
        <v>1213</v>
      </c>
      <c r="C44" s="160" t="s">
        <v>746</v>
      </c>
      <c r="D44" s="171" t="s">
        <v>124</v>
      </c>
      <c r="E44" s="163" t="s">
        <v>440</v>
      </c>
      <c r="F44" s="160" t="s">
        <v>22</v>
      </c>
      <c r="G44" s="164">
        <v>3</v>
      </c>
      <c r="H44" s="165">
        <v>7.7</v>
      </c>
      <c r="I44" s="166">
        <v>4.92</v>
      </c>
      <c r="J44" s="167">
        <f t="shared" ref="J44:J50" si="64">TRUNC(SUM(H44:I44),2)</f>
        <v>12.62</v>
      </c>
      <c r="K44" s="168">
        <f t="shared" ref="K44:K49" si="65">+H44*G44</f>
        <v>23.1</v>
      </c>
      <c r="L44" s="169">
        <f t="shared" ref="L44:L49" si="66">+I44*G44</f>
        <v>14.76</v>
      </c>
      <c r="M44" s="170">
        <f t="shared" ref="M44:M49" si="67">TRUNC(SUM(K44:L44),2)</f>
        <v>37.86</v>
      </c>
      <c r="N44" s="165">
        <f t="shared" si="32"/>
        <v>9.3909199999999995</v>
      </c>
      <c r="O44" s="166">
        <f t="shared" si="33"/>
        <v>6.000432</v>
      </c>
      <c r="P44" s="167">
        <f t="shared" ref="P44:P49" si="68">TRUNC(SUM(N44:O44),2)</f>
        <v>15.39</v>
      </c>
      <c r="Q44" s="168">
        <f t="shared" ref="Q44:Q49" si="69">+N44*G44</f>
        <v>28.172759999999997</v>
      </c>
      <c r="R44" s="169">
        <f t="shared" ref="R44:R49" si="70">+O44*G44</f>
        <v>18.001296</v>
      </c>
      <c r="S44" s="169">
        <f t="shared" ref="S44:S49" si="71">TRUNC(SUM(Q44:R44),2)</f>
        <v>46.17</v>
      </c>
      <c r="T44" s="161">
        <f t="shared" si="56"/>
        <v>4.113968896292271E-5</v>
      </c>
    </row>
    <row r="45" spans="2:20" ht="39.950000000000003" customHeight="1" x14ac:dyDescent="0.25">
      <c r="B45" s="162" t="s">
        <v>1214</v>
      </c>
      <c r="C45" s="160" t="s">
        <v>1210</v>
      </c>
      <c r="D45" s="171" t="s">
        <v>842</v>
      </c>
      <c r="E45" s="163" t="s">
        <v>1211</v>
      </c>
      <c r="F45" s="160" t="s">
        <v>22</v>
      </c>
      <c r="G45" s="427">
        <v>6</v>
      </c>
      <c r="H45" s="165">
        <v>3.76</v>
      </c>
      <c r="I45" s="166">
        <v>5.03</v>
      </c>
      <c r="J45" s="167">
        <f t="shared" ref="J45:J47" si="72">TRUNC(SUM(H45:I45),2)</f>
        <v>8.7899999999999991</v>
      </c>
      <c r="K45" s="168">
        <f t="shared" ref="K45:K47" si="73">+H45*G45</f>
        <v>22.56</v>
      </c>
      <c r="L45" s="169">
        <f t="shared" ref="L45:L47" si="74">+I45*G45</f>
        <v>30.18</v>
      </c>
      <c r="M45" s="415">
        <f t="shared" ref="M45:M47" si="75">TRUNC(SUM(K45:L45),2)</f>
        <v>52.74</v>
      </c>
      <c r="N45" s="165">
        <f t="shared" ref="N45:N47" si="76">+H45*(1+$T$10)</f>
        <v>4.5856959999999996</v>
      </c>
      <c r="O45" s="166">
        <f t="shared" ref="O45:O47" si="77">+I45*(1+$T$10)</f>
        <v>6.1345880000000008</v>
      </c>
      <c r="P45" s="167">
        <f t="shared" ref="P45:P47" si="78">TRUNC(SUM(N45:O45),2)</f>
        <v>10.72</v>
      </c>
      <c r="Q45" s="168">
        <f t="shared" ref="Q45:Q47" si="79">+N45*G45</f>
        <v>27.514175999999999</v>
      </c>
      <c r="R45" s="169">
        <f t="shared" ref="R45:R47" si="80">+O45*G45</f>
        <v>36.807528000000005</v>
      </c>
      <c r="S45" s="169">
        <f t="shared" ref="S45:S47" si="81">TRUNC(SUM(Q45:R45),2)</f>
        <v>64.319999999999993</v>
      </c>
      <c r="T45" s="416">
        <f t="shared" si="56"/>
        <v>5.7312211264786402E-5</v>
      </c>
    </row>
    <row r="46" spans="2:20" ht="39.950000000000003" customHeight="1" x14ac:dyDescent="0.25">
      <c r="B46" s="162" t="s">
        <v>1215</v>
      </c>
      <c r="C46" s="160">
        <v>9527</v>
      </c>
      <c r="D46" s="171" t="s">
        <v>175</v>
      </c>
      <c r="E46" s="163" t="s">
        <v>1221</v>
      </c>
      <c r="F46" s="160" t="s">
        <v>851</v>
      </c>
      <c r="G46" s="427">
        <v>4</v>
      </c>
      <c r="H46" s="165">
        <v>5.6</v>
      </c>
      <c r="I46" s="166">
        <v>11.56</v>
      </c>
      <c r="J46" s="167">
        <f t="shared" si="72"/>
        <v>17.16</v>
      </c>
      <c r="K46" s="168">
        <f t="shared" si="73"/>
        <v>22.4</v>
      </c>
      <c r="L46" s="169">
        <f t="shared" si="74"/>
        <v>46.24</v>
      </c>
      <c r="M46" s="415">
        <f t="shared" si="75"/>
        <v>68.64</v>
      </c>
      <c r="N46" s="165">
        <f t="shared" si="76"/>
        <v>6.8297599999999994</v>
      </c>
      <c r="O46" s="166">
        <f t="shared" si="77"/>
        <v>14.098576000000001</v>
      </c>
      <c r="P46" s="167">
        <f t="shared" si="78"/>
        <v>20.92</v>
      </c>
      <c r="Q46" s="168">
        <f t="shared" si="79"/>
        <v>27.319039999999998</v>
      </c>
      <c r="R46" s="169">
        <f t="shared" si="80"/>
        <v>56.394304000000005</v>
      </c>
      <c r="S46" s="169">
        <f t="shared" si="81"/>
        <v>83.71</v>
      </c>
      <c r="T46" s="416">
        <f t="shared" si="56"/>
        <v>7.4589633161928947E-5</v>
      </c>
    </row>
    <row r="47" spans="2:20" ht="39.950000000000003" customHeight="1" x14ac:dyDescent="0.25">
      <c r="B47" s="162" t="s">
        <v>1216</v>
      </c>
      <c r="C47" s="160">
        <v>9988</v>
      </c>
      <c r="D47" s="171" t="s">
        <v>175</v>
      </c>
      <c r="E47" s="163" t="s">
        <v>1222</v>
      </c>
      <c r="F47" s="160" t="s">
        <v>225</v>
      </c>
      <c r="G47" s="427">
        <v>3</v>
      </c>
      <c r="H47" s="165">
        <v>2.2400000000000002</v>
      </c>
      <c r="I47" s="166">
        <v>2.87</v>
      </c>
      <c r="J47" s="167">
        <f t="shared" si="72"/>
        <v>5.1100000000000003</v>
      </c>
      <c r="K47" s="168">
        <f t="shared" si="73"/>
        <v>6.7200000000000006</v>
      </c>
      <c r="L47" s="169">
        <f t="shared" si="74"/>
        <v>8.61</v>
      </c>
      <c r="M47" s="415">
        <f t="shared" si="75"/>
        <v>15.33</v>
      </c>
      <c r="N47" s="165">
        <f t="shared" si="76"/>
        <v>2.7319040000000001</v>
      </c>
      <c r="O47" s="166">
        <f t="shared" si="77"/>
        <v>3.5002520000000001</v>
      </c>
      <c r="P47" s="167">
        <f t="shared" si="78"/>
        <v>6.23</v>
      </c>
      <c r="Q47" s="168">
        <f t="shared" si="79"/>
        <v>8.1957120000000003</v>
      </c>
      <c r="R47" s="169">
        <f t="shared" si="80"/>
        <v>10.500756000000001</v>
      </c>
      <c r="S47" s="169">
        <f t="shared" si="81"/>
        <v>18.690000000000001</v>
      </c>
      <c r="T47" s="416">
        <f t="shared" si="56"/>
        <v>1.6653688254646425E-5</v>
      </c>
    </row>
    <row r="48" spans="2:20" ht="39.950000000000003" customHeight="1" x14ac:dyDescent="0.25">
      <c r="B48" s="162" t="s">
        <v>1217</v>
      </c>
      <c r="C48" s="160">
        <v>60525</v>
      </c>
      <c r="D48" s="171" t="s">
        <v>212</v>
      </c>
      <c r="E48" s="163" t="s">
        <v>305</v>
      </c>
      <c r="F48" s="160" t="s">
        <v>22</v>
      </c>
      <c r="G48" s="164">
        <v>1</v>
      </c>
      <c r="H48" s="453">
        <v>7.88</v>
      </c>
      <c r="I48" s="454">
        <f>20.1-H48</f>
        <v>12.220000000000002</v>
      </c>
      <c r="J48" s="167">
        <f t="shared" si="64"/>
        <v>20.100000000000001</v>
      </c>
      <c r="K48" s="168">
        <f t="shared" si="65"/>
        <v>7.88</v>
      </c>
      <c r="L48" s="169">
        <f t="shared" si="66"/>
        <v>12.220000000000002</v>
      </c>
      <c r="M48" s="170">
        <f t="shared" si="67"/>
        <v>20.100000000000001</v>
      </c>
      <c r="N48" s="165">
        <f t="shared" si="32"/>
        <v>9.6104479999999999</v>
      </c>
      <c r="O48" s="166">
        <f t="shared" si="33"/>
        <v>14.903512000000003</v>
      </c>
      <c r="P48" s="167">
        <f t="shared" si="68"/>
        <v>24.51</v>
      </c>
      <c r="Q48" s="168">
        <f t="shared" si="69"/>
        <v>9.6104479999999999</v>
      </c>
      <c r="R48" s="169">
        <f t="shared" si="70"/>
        <v>14.903512000000003</v>
      </c>
      <c r="S48" s="169">
        <f t="shared" si="71"/>
        <v>24.51</v>
      </c>
      <c r="T48" s="161">
        <f t="shared" si="56"/>
        <v>2.1839587967971317E-5</v>
      </c>
    </row>
    <row r="49" spans="2:20" ht="39.950000000000003" customHeight="1" x14ac:dyDescent="0.25">
      <c r="B49" s="162" t="s">
        <v>1218</v>
      </c>
      <c r="C49" s="160" t="s">
        <v>747</v>
      </c>
      <c r="D49" s="171" t="s">
        <v>124</v>
      </c>
      <c r="E49" s="163" t="s">
        <v>443</v>
      </c>
      <c r="F49" s="160" t="s">
        <v>22</v>
      </c>
      <c r="G49" s="164">
        <v>36</v>
      </c>
      <c r="H49" s="165">
        <v>2.95</v>
      </c>
      <c r="I49" s="166">
        <v>2.34</v>
      </c>
      <c r="J49" s="167">
        <f t="shared" si="64"/>
        <v>5.29</v>
      </c>
      <c r="K49" s="168">
        <f t="shared" si="65"/>
        <v>106.2</v>
      </c>
      <c r="L49" s="169">
        <f t="shared" si="66"/>
        <v>84.24</v>
      </c>
      <c r="M49" s="170">
        <f t="shared" si="67"/>
        <v>190.44</v>
      </c>
      <c r="N49" s="165">
        <f t="shared" si="32"/>
        <v>3.5978200000000005</v>
      </c>
      <c r="O49" s="166">
        <f t="shared" si="33"/>
        <v>2.8538639999999997</v>
      </c>
      <c r="P49" s="167">
        <f t="shared" si="68"/>
        <v>6.45</v>
      </c>
      <c r="Q49" s="168">
        <f t="shared" si="69"/>
        <v>129.52152000000001</v>
      </c>
      <c r="R49" s="169">
        <f t="shared" si="70"/>
        <v>102.739104</v>
      </c>
      <c r="S49" s="169">
        <f t="shared" si="71"/>
        <v>232.26</v>
      </c>
      <c r="T49" s="161">
        <f t="shared" si="56"/>
        <v>2.0695482258021287E-4</v>
      </c>
    </row>
    <row r="50" spans="2:20" ht="24.95" customHeight="1" x14ac:dyDescent="0.25">
      <c r="B50" s="162" t="s">
        <v>1219</v>
      </c>
      <c r="C50" s="160">
        <v>83387</v>
      </c>
      <c r="D50" s="171" t="s">
        <v>31</v>
      </c>
      <c r="E50" s="163" t="s">
        <v>844</v>
      </c>
      <c r="F50" s="160" t="s">
        <v>22</v>
      </c>
      <c r="G50" s="164">
        <v>168</v>
      </c>
      <c r="H50" s="165">
        <v>4.4400000000000004</v>
      </c>
      <c r="I50" s="166">
        <v>4.17</v>
      </c>
      <c r="J50" s="167">
        <f t="shared" si="64"/>
        <v>8.61</v>
      </c>
      <c r="K50" s="168">
        <f>+H50*G50</f>
        <v>745.92000000000007</v>
      </c>
      <c r="L50" s="169">
        <f>+I50*G50</f>
        <v>700.56</v>
      </c>
      <c r="M50" s="170">
        <f t="shared" si="59"/>
        <v>1446.48</v>
      </c>
      <c r="N50" s="165">
        <f t="shared" si="32"/>
        <v>5.4150240000000007</v>
      </c>
      <c r="O50" s="166">
        <f t="shared" si="33"/>
        <v>5.0857320000000001</v>
      </c>
      <c r="P50" s="167">
        <f t="shared" si="60"/>
        <v>10.5</v>
      </c>
      <c r="Q50" s="168">
        <f t="shared" si="61"/>
        <v>909.72403200000008</v>
      </c>
      <c r="R50" s="169">
        <f t="shared" si="62"/>
        <v>854.40297600000008</v>
      </c>
      <c r="S50" s="169">
        <f t="shared" si="63"/>
        <v>1764.12</v>
      </c>
      <c r="T50" s="161">
        <f t="shared" si="56"/>
        <v>1.5719157048575093E-3</v>
      </c>
    </row>
    <row r="51" spans="2:20" ht="24.95" customHeight="1" x14ac:dyDescent="0.25">
      <c r="B51" s="162" t="s">
        <v>1220</v>
      </c>
      <c r="C51" s="160">
        <v>83388</v>
      </c>
      <c r="D51" s="171" t="s">
        <v>31</v>
      </c>
      <c r="E51" s="163" t="s">
        <v>846</v>
      </c>
      <c r="F51" s="160" t="s">
        <v>22</v>
      </c>
      <c r="G51" s="164">
        <v>636</v>
      </c>
      <c r="H51" s="165">
        <v>4.4400000000000004</v>
      </c>
      <c r="I51" s="166">
        <f>10.56-H51</f>
        <v>6.12</v>
      </c>
      <c r="J51" s="167">
        <f t="shared" ref="J51" si="82">TRUNC(SUM(H51:I51),2)</f>
        <v>10.56</v>
      </c>
      <c r="K51" s="168">
        <f>+H51*G51</f>
        <v>2823.84</v>
      </c>
      <c r="L51" s="169">
        <f>+I51*G51</f>
        <v>3892.32</v>
      </c>
      <c r="M51" s="170">
        <f t="shared" ref="M51" si="83">TRUNC(SUM(K51:L51),2)</f>
        <v>6716.16</v>
      </c>
      <c r="N51" s="165">
        <f t="shared" si="32"/>
        <v>5.4150240000000007</v>
      </c>
      <c r="O51" s="166">
        <f t="shared" si="33"/>
        <v>7.4639519999999999</v>
      </c>
      <c r="P51" s="167">
        <f t="shared" ref="P51" si="84">TRUNC(SUM(N51:O51),2)</f>
        <v>12.87</v>
      </c>
      <c r="Q51" s="168">
        <f t="shared" ref="Q51" si="85">+N51*G51</f>
        <v>3443.9552640000006</v>
      </c>
      <c r="R51" s="169">
        <f t="shared" ref="R51" si="86">+O51*G51</f>
        <v>4747.073472</v>
      </c>
      <c r="S51" s="169">
        <f t="shared" ref="S51" si="87">TRUNC(SUM(Q51:R51),2)</f>
        <v>8191.02</v>
      </c>
      <c r="T51" s="161">
        <f t="shared" si="56"/>
        <v>7.298592486226536E-3</v>
      </c>
    </row>
    <row r="52" spans="2:20" ht="24.95" customHeight="1" x14ac:dyDescent="0.25">
      <c r="B52" s="205"/>
      <c r="C52" s="160"/>
      <c r="D52" s="160"/>
      <c r="E52" s="163"/>
      <c r="F52" s="203"/>
      <c r="G52" s="204"/>
      <c r="H52" s="205"/>
      <c r="I52" s="203"/>
      <c r="J52" s="206"/>
      <c r="K52" s="207"/>
      <c r="L52" s="203"/>
      <c r="M52" s="208"/>
      <c r="N52" s="205">
        <f t="shared" ref="N52" si="88">+H52*(1+$T$10)</f>
        <v>0</v>
      </c>
      <c r="O52" s="203">
        <f t="shared" ref="O52" si="89">+I52*(1+$T$10)</f>
        <v>0</v>
      </c>
      <c r="P52" s="206"/>
      <c r="Q52" s="207"/>
      <c r="R52" s="203"/>
      <c r="S52" s="203"/>
      <c r="T52" s="161">
        <f t="shared" si="56"/>
        <v>0</v>
      </c>
    </row>
    <row r="53" spans="2:20" ht="24.95" customHeight="1" x14ac:dyDescent="0.25">
      <c r="B53" s="341" t="s">
        <v>255</v>
      </c>
      <c r="C53" s="342"/>
      <c r="D53" s="342"/>
      <c r="E53" s="343" t="s">
        <v>847</v>
      </c>
      <c r="F53" s="344"/>
      <c r="G53" s="345"/>
      <c r="H53" s="346"/>
      <c r="I53" s="344"/>
      <c r="J53" s="347">
        <f t="shared" si="58"/>
        <v>0</v>
      </c>
      <c r="K53" s="348">
        <f>SUM(K54:K58)</f>
        <v>22274.718000000001</v>
      </c>
      <c r="L53" s="348">
        <f>SUM(L54:L58)</f>
        <v>78409.600000000006</v>
      </c>
      <c r="M53" s="348">
        <f>SUM(M54:M58)</f>
        <v>100684.3</v>
      </c>
      <c r="N53" s="350">
        <f t="shared" si="32"/>
        <v>0</v>
      </c>
      <c r="O53" s="351">
        <f t="shared" si="33"/>
        <v>0</v>
      </c>
      <c r="P53" s="352">
        <f t="shared" si="60"/>
        <v>0</v>
      </c>
      <c r="Q53" s="348">
        <f>SUM(Q54:Q58)</f>
        <v>27166.246072800001</v>
      </c>
      <c r="R53" s="348">
        <f>SUM(R54:R58)</f>
        <v>95628.348159999994</v>
      </c>
      <c r="S53" s="348">
        <f>SUM(S54:S58)</f>
        <v>122794.56999999999</v>
      </c>
      <c r="T53" s="349">
        <f t="shared" si="56"/>
        <v>0.10941586346406411</v>
      </c>
    </row>
    <row r="54" spans="2:20" ht="39.950000000000003" customHeight="1" x14ac:dyDescent="0.25">
      <c r="B54" s="162" t="s">
        <v>132</v>
      </c>
      <c r="C54" s="160" t="s">
        <v>848</v>
      </c>
      <c r="D54" s="171" t="s">
        <v>849</v>
      </c>
      <c r="E54" s="163" t="s">
        <v>850</v>
      </c>
      <c r="F54" s="160" t="s">
        <v>851</v>
      </c>
      <c r="G54" s="164">
        <v>1206</v>
      </c>
      <c r="H54" s="165">
        <v>2.84</v>
      </c>
      <c r="I54" s="166">
        <v>11.66</v>
      </c>
      <c r="J54" s="167">
        <f t="shared" si="58"/>
        <v>14.5</v>
      </c>
      <c r="K54" s="168">
        <f>+H54*G54</f>
        <v>3425.04</v>
      </c>
      <c r="L54" s="169">
        <f>+I54*G54</f>
        <v>14061.960000000001</v>
      </c>
      <c r="M54" s="170">
        <f t="shared" ref="M54" si="90">TRUNC(SUM(K54:L54),2)</f>
        <v>17487</v>
      </c>
      <c r="N54" s="165">
        <f t="shared" si="32"/>
        <v>3.4636640000000001</v>
      </c>
      <c r="O54" s="166">
        <f t="shared" si="33"/>
        <v>14.220536000000001</v>
      </c>
      <c r="P54" s="167">
        <f t="shared" si="60"/>
        <v>17.68</v>
      </c>
      <c r="Q54" s="168">
        <f t="shared" si="61"/>
        <v>4177.1787839999997</v>
      </c>
      <c r="R54" s="169">
        <f t="shared" si="62"/>
        <v>17149.966416000003</v>
      </c>
      <c r="S54" s="169">
        <f t="shared" si="63"/>
        <v>21327.14</v>
      </c>
      <c r="T54" s="161">
        <f t="shared" si="56"/>
        <v>1.9003506737463881E-2</v>
      </c>
    </row>
    <row r="55" spans="2:20" ht="39.950000000000003" customHeight="1" x14ac:dyDescent="0.25">
      <c r="B55" s="162" t="s">
        <v>1194</v>
      </c>
      <c r="C55" s="160" t="s">
        <v>852</v>
      </c>
      <c r="D55" s="171" t="s">
        <v>849</v>
      </c>
      <c r="E55" s="163" t="s">
        <v>853</v>
      </c>
      <c r="F55" s="160" t="s">
        <v>851</v>
      </c>
      <c r="G55" s="164">
        <v>661.4</v>
      </c>
      <c r="H55" s="165">
        <v>2.84</v>
      </c>
      <c r="I55" s="166">
        <v>18.75</v>
      </c>
      <c r="J55" s="167">
        <f t="shared" ref="J55:J58" si="91">TRUNC(SUM(H55:I55),2)</f>
        <v>21.59</v>
      </c>
      <c r="K55" s="168">
        <f>+H55*G55</f>
        <v>1878.3759999999997</v>
      </c>
      <c r="L55" s="169">
        <f>+I55*G55</f>
        <v>12401.25</v>
      </c>
      <c r="M55" s="170">
        <f t="shared" ref="M55:M58" si="92">TRUNC(SUM(K55:L55),2)</f>
        <v>14279.62</v>
      </c>
      <c r="N55" s="165">
        <f t="shared" si="32"/>
        <v>3.4636640000000001</v>
      </c>
      <c r="O55" s="166">
        <f t="shared" si="33"/>
        <v>22.8675</v>
      </c>
      <c r="P55" s="167">
        <f t="shared" ref="P55:P58" si="93">TRUNC(SUM(N55:O55),2)</f>
        <v>26.33</v>
      </c>
      <c r="Q55" s="168">
        <f t="shared" ref="Q55:Q58" si="94">+N55*G55</f>
        <v>2290.8673696000001</v>
      </c>
      <c r="R55" s="169">
        <f t="shared" ref="R55:R58" si="95">+O55*G55</f>
        <v>15124.564499999999</v>
      </c>
      <c r="S55" s="169">
        <f t="shared" ref="S55:S58" si="96">TRUNC(SUM(Q55:R55),2)</f>
        <v>17415.43</v>
      </c>
      <c r="T55" s="161">
        <f t="shared" si="56"/>
        <v>1.5517985127908881E-2</v>
      </c>
    </row>
    <row r="56" spans="2:20" ht="38.25" x14ac:dyDescent="0.25">
      <c r="B56" s="162" t="s">
        <v>1195</v>
      </c>
      <c r="C56" s="160" t="s">
        <v>856</v>
      </c>
      <c r="D56" s="171" t="s">
        <v>849</v>
      </c>
      <c r="E56" s="163" t="s">
        <v>857</v>
      </c>
      <c r="F56" s="160" t="s">
        <v>851</v>
      </c>
      <c r="G56" s="427">
        <v>42.8</v>
      </c>
      <c r="H56" s="165">
        <v>3.45</v>
      </c>
      <c r="I56" s="166">
        <v>102.22</v>
      </c>
      <c r="J56" s="167">
        <f t="shared" si="91"/>
        <v>105.67</v>
      </c>
      <c r="K56" s="168">
        <f t="shared" ref="K56:K58" si="97">+H56*G56</f>
        <v>147.66</v>
      </c>
      <c r="L56" s="169">
        <f t="shared" ref="L56:L58" si="98">+I56*G56</f>
        <v>4375.0159999999996</v>
      </c>
      <c r="M56" s="415">
        <f t="shared" si="92"/>
        <v>4522.67</v>
      </c>
      <c r="N56" s="165">
        <f t="shared" si="32"/>
        <v>4.2076200000000004</v>
      </c>
      <c r="O56" s="166">
        <f t="shared" si="33"/>
        <v>124.667512</v>
      </c>
      <c r="P56" s="167">
        <f t="shared" si="93"/>
        <v>128.87</v>
      </c>
      <c r="Q56" s="168">
        <f t="shared" si="94"/>
        <v>180.08613600000001</v>
      </c>
      <c r="R56" s="169">
        <f t="shared" si="95"/>
        <v>5335.7695135999993</v>
      </c>
      <c r="S56" s="169">
        <f t="shared" si="96"/>
        <v>5515.85</v>
      </c>
      <c r="T56" s="416">
        <f t="shared" si="56"/>
        <v>4.9148874456603261E-3</v>
      </c>
    </row>
    <row r="57" spans="2:20" ht="38.25" x14ac:dyDescent="0.25">
      <c r="B57" s="162" t="s">
        <v>1196</v>
      </c>
      <c r="C57" s="160" t="s">
        <v>854</v>
      </c>
      <c r="D57" s="171" t="s">
        <v>849</v>
      </c>
      <c r="E57" s="163" t="s">
        <v>855</v>
      </c>
      <c r="F57" s="160" t="s">
        <v>851</v>
      </c>
      <c r="G57" s="427">
        <v>181.1</v>
      </c>
      <c r="H57" s="165">
        <v>1.42</v>
      </c>
      <c r="I57" s="166">
        <v>5.0199999999999996</v>
      </c>
      <c r="J57" s="167">
        <f t="shared" ref="J57" si="99">TRUNC(SUM(H57:I57),2)</f>
        <v>6.44</v>
      </c>
      <c r="K57" s="168">
        <f t="shared" ref="K57" si="100">+H57*G57</f>
        <v>257.16199999999998</v>
      </c>
      <c r="L57" s="169">
        <f t="shared" ref="L57" si="101">+I57*G57</f>
        <v>909.12199999999984</v>
      </c>
      <c r="M57" s="415">
        <f t="shared" ref="M57" si="102">TRUNC(SUM(K57:L57),2)</f>
        <v>1166.28</v>
      </c>
      <c r="N57" s="165">
        <f t="shared" ref="N57" si="103">+H57*(1+$T$10)</f>
        <v>1.731832</v>
      </c>
      <c r="O57" s="166">
        <f t="shared" ref="O57" si="104">+I57*(1+$T$10)</f>
        <v>6.1223919999999996</v>
      </c>
      <c r="P57" s="167">
        <f t="shared" ref="P57" si="105">TRUNC(SUM(N57:O57),2)</f>
        <v>7.85</v>
      </c>
      <c r="Q57" s="168">
        <f t="shared" ref="Q57" si="106">+N57*G57</f>
        <v>313.63477519999998</v>
      </c>
      <c r="R57" s="169">
        <f t="shared" ref="R57" si="107">+O57*G57</f>
        <v>1108.7651911999999</v>
      </c>
      <c r="S57" s="169">
        <f t="shared" ref="S57" si="108">TRUNC(SUM(Q57:R57),2)</f>
        <v>1422.39</v>
      </c>
      <c r="T57" s="416">
        <f t="shared" si="56"/>
        <v>1.2674178510715104E-3</v>
      </c>
    </row>
    <row r="58" spans="2:20" ht="48" customHeight="1" x14ac:dyDescent="0.25">
      <c r="B58" s="162" t="s">
        <v>1333</v>
      </c>
      <c r="C58" s="160" t="s">
        <v>858</v>
      </c>
      <c r="D58" s="171" t="s">
        <v>849</v>
      </c>
      <c r="E58" s="163" t="s">
        <v>859</v>
      </c>
      <c r="F58" s="160" t="s">
        <v>851</v>
      </c>
      <c r="G58" s="427">
        <v>13805.4</v>
      </c>
      <c r="H58" s="165">
        <v>1.2</v>
      </c>
      <c r="I58" s="166">
        <v>3.38</v>
      </c>
      <c r="J58" s="167">
        <f t="shared" si="91"/>
        <v>4.58</v>
      </c>
      <c r="K58" s="168">
        <f t="shared" si="97"/>
        <v>16566.48</v>
      </c>
      <c r="L58" s="169">
        <f t="shared" si="98"/>
        <v>46662.252</v>
      </c>
      <c r="M58" s="415">
        <f t="shared" si="92"/>
        <v>63228.73</v>
      </c>
      <c r="N58" s="165">
        <f t="shared" si="32"/>
        <v>1.4635199999999999</v>
      </c>
      <c r="O58" s="166">
        <f t="shared" si="33"/>
        <v>4.1222479999999999</v>
      </c>
      <c r="P58" s="167">
        <f t="shared" si="93"/>
        <v>5.58</v>
      </c>
      <c r="Q58" s="168">
        <f t="shared" si="94"/>
        <v>20204.479007999998</v>
      </c>
      <c r="R58" s="169">
        <f t="shared" si="95"/>
        <v>56909.282539199994</v>
      </c>
      <c r="S58" s="169">
        <f t="shared" si="96"/>
        <v>77113.759999999995</v>
      </c>
      <c r="T58" s="416">
        <f t="shared" si="56"/>
        <v>6.8712066301959501E-2</v>
      </c>
    </row>
    <row r="59" spans="2:20" ht="24.95" customHeight="1" x14ac:dyDescent="0.25">
      <c r="B59" s="162"/>
      <c r="C59" s="160"/>
      <c r="D59" s="171"/>
      <c r="E59" s="163"/>
      <c r="F59" s="160"/>
      <c r="G59" s="164"/>
      <c r="H59" s="165"/>
      <c r="I59" s="166"/>
      <c r="J59" s="167"/>
      <c r="K59" s="168"/>
      <c r="L59" s="169"/>
      <c r="M59" s="170"/>
      <c r="N59" s="165"/>
      <c r="O59" s="166"/>
      <c r="P59" s="167"/>
      <c r="Q59" s="168"/>
      <c r="R59" s="169"/>
      <c r="S59" s="169"/>
      <c r="T59" s="161"/>
    </row>
    <row r="60" spans="2:20" ht="24.95" customHeight="1" x14ac:dyDescent="0.25">
      <c r="B60" s="326">
        <v>6</v>
      </c>
      <c r="C60" s="327"/>
      <c r="D60" s="327"/>
      <c r="E60" s="328" t="s">
        <v>860</v>
      </c>
      <c r="F60" s="329"/>
      <c r="G60" s="330"/>
      <c r="H60" s="331"/>
      <c r="I60" s="329"/>
      <c r="J60" s="332">
        <f t="shared" si="58"/>
        <v>0</v>
      </c>
      <c r="K60" s="337">
        <f>SUM(K61:K61)</f>
        <v>4359</v>
      </c>
      <c r="L60" s="337">
        <f>SUM(L61:L61)</f>
        <v>97440</v>
      </c>
      <c r="M60" s="337">
        <f>SUM(M61:M61)</f>
        <v>101799</v>
      </c>
      <c r="N60" s="353">
        <f t="shared" si="32"/>
        <v>0</v>
      </c>
      <c r="O60" s="354">
        <f t="shared" si="33"/>
        <v>0</v>
      </c>
      <c r="P60" s="355">
        <f t="shared" si="60"/>
        <v>0</v>
      </c>
      <c r="Q60" s="337">
        <f>SUM(Q61:Q61)</f>
        <v>5316.2363999999998</v>
      </c>
      <c r="R60" s="337">
        <f>SUM(R61:R61)</f>
        <v>118837.82399999999</v>
      </c>
      <c r="S60" s="337">
        <f>SUM(S61:S61)</f>
        <v>124154.06</v>
      </c>
      <c r="T60" s="333">
        <f>+S60/$S$201</f>
        <v>0.11062723439211704</v>
      </c>
    </row>
    <row r="61" spans="2:20" ht="30" customHeight="1" x14ac:dyDescent="0.25">
      <c r="B61" s="162" t="s">
        <v>626</v>
      </c>
      <c r="C61" s="160" t="s">
        <v>861</v>
      </c>
      <c r="D61" s="171" t="s">
        <v>124</v>
      </c>
      <c r="E61" s="163" t="s">
        <v>1349</v>
      </c>
      <c r="F61" s="160" t="s">
        <v>35</v>
      </c>
      <c r="G61" s="427">
        <v>300</v>
      </c>
      <c r="H61" s="165">
        <v>14.53</v>
      </c>
      <c r="I61" s="166">
        <v>324.8</v>
      </c>
      <c r="J61" s="167">
        <f t="shared" ref="J61:J73" si="109">TRUNC(SUM(H61:I61),2)</f>
        <v>339.33</v>
      </c>
      <c r="K61" s="168">
        <f t="shared" ref="K61:K73" si="110">+H61*G61</f>
        <v>4359</v>
      </c>
      <c r="L61" s="169">
        <f t="shared" ref="L61:L73" si="111">+I61*G61</f>
        <v>97440</v>
      </c>
      <c r="M61" s="415">
        <f t="shared" ref="M61:M73" si="112">TRUNC(SUM(K61:L61),2)</f>
        <v>101799</v>
      </c>
      <c r="N61" s="165">
        <f t="shared" si="32"/>
        <v>17.720787999999999</v>
      </c>
      <c r="O61" s="166">
        <f t="shared" si="33"/>
        <v>396.12608</v>
      </c>
      <c r="P61" s="167">
        <f t="shared" ref="P61:P73" si="113">TRUNC(SUM(N61:O61),2)</f>
        <v>413.84</v>
      </c>
      <c r="Q61" s="168">
        <f t="shared" ref="Q61:Q73" si="114">+N61*G61</f>
        <v>5316.2363999999998</v>
      </c>
      <c r="R61" s="169">
        <f t="shared" ref="R61:R73" si="115">+O61*G61</f>
        <v>118837.82399999999</v>
      </c>
      <c r="S61" s="169">
        <f t="shared" ref="S61:S73" si="116">TRUNC(SUM(Q61:R61),2)</f>
        <v>124154.06</v>
      </c>
      <c r="T61" s="416">
        <f>+S61/$S$201</f>
        <v>0.11062723439211704</v>
      </c>
    </row>
    <row r="62" spans="2:20" ht="30" customHeight="1" x14ac:dyDescent="0.25">
      <c r="B62" s="162"/>
      <c r="C62" s="160"/>
      <c r="D62" s="171"/>
      <c r="E62" s="163"/>
      <c r="F62" s="160"/>
      <c r="G62" s="164"/>
      <c r="H62" s="165"/>
      <c r="I62" s="166"/>
      <c r="J62" s="167"/>
      <c r="K62" s="168"/>
      <c r="L62" s="169"/>
      <c r="M62" s="170"/>
      <c r="N62" s="165"/>
      <c r="O62" s="166"/>
      <c r="P62" s="167"/>
      <c r="Q62" s="168"/>
      <c r="R62" s="169"/>
      <c r="S62" s="169"/>
      <c r="T62" s="161"/>
    </row>
    <row r="63" spans="2:20" ht="24.95" customHeight="1" x14ac:dyDescent="0.25">
      <c r="B63" s="326">
        <v>7</v>
      </c>
      <c r="C63" s="327"/>
      <c r="D63" s="327"/>
      <c r="E63" s="328" t="s">
        <v>439</v>
      </c>
      <c r="F63" s="329"/>
      <c r="G63" s="330"/>
      <c r="H63" s="331"/>
      <c r="I63" s="329"/>
      <c r="J63" s="332">
        <f t="shared" si="109"/>
        <v>0</v>
      </c>
      <c r="K63" s="337">
        <f>SUM(K64:K69)</f>
        <v>5174.43</v>
      </c>
      <c r="L63" s="337">
        <f>SUM(L64:L69)</f>
        <v>8023.8499999999995</v>
      </c>
      <c r="M63" s="337">
        <f>SUM(M64:M69)</f>
        <v>13198.279999999999</v>
      </c>
      <c r="N63" s="353">
        <f t="shared" si="32"/>
        <v>0</v>
      </c>
      <c r="O63" s="354">
        <f t="shared" si="33"/>
        <v>0</v>
      </c>
      <c r="P63" s="355">
        <f t="shared" si="113"/>
        <v>0</v>
      </c>
      <c r="Q63" s="337">
        <f>SUM(Q64:Q69)</f>
        <v>6310.7348280000006</v>
      </c>
      <c r="R63" s="337">
        <f>SUM(R64:R69)</f>
        <v>9785.8874599999999</v>
      </c>
      <c r="S63" s="337">
        <f>SUM(S64:S69)</f>
        <v>16096.6</v>
      </c>
      <c r="T63" s="333">
        <f t="shared" ref="T63:T69" si="117">+S63/$S$201</f>
        <v>1.4342844214004368E-2</v>
      </c>
    </row>
    <row r="64" spans="2:20" ht="30" customHeight="1" x14ac:dyDescent="0.25">
      <c r="B64" s="162" t="s">
        <v>1358</v>
      </c>
      <c r="C64" s="160">
        <v>91967</v>
      </c>
      <c r="D64" s="171" t="s">
        <v>31</v>
      </c>
      <c r="E64" s="163" t="s">
        <v>745</v>
      </c>
      <c r="F64" s="160" t="s">
        <v>22</v>
      </c>
      <c r="G64" s="164">
        <v>3</v>
      </c>
      <c r="H64" s="165">
        <v>18.54</v>
      </c>
      <c r="I64" s="166">
        <f>50.9-H64</f>
        <v>32.36</v>
      </c>
      <c r="J64" s="167">
        <f t="shared" si="109"/>
        <v>50.9</v>
      </c>
      <c r="K64" s="168">
        <f t="shared" si="110"/>
        <v>55.62</v>
      </c>
      <c r="L64" s="169">
        <f t="shared" si="111"/>
        <v>97.08</v>
      </c>
      <c r="M64" s="170">
        <f t="shared" si="112"/>
        <v>152.69999999999999</v>
      </c>
      <c r="N64" s="165">
        <f t="shared" ref="N64:N125" si="118">+H64*(1+$T$10)</f>
        <v>22.611384000000001</v>
      </c>
      <c r="O64" s="166">
        <f t="shared" ref="O64:O125" si="119">+I64*(1+$T$10)</f>
        <v>39.466256000000001</v>
      </c>
      <c r="P64" s="167">
        <f t="shared" si="113"/>
        <v>62.07</v>
      </c>
      <c r="Q64" s="168">
        <f t="shared" si="114"/>
        <v>67.834152000000003</v>
      </c>
      <c r="R64" s="169">
        <f t="shared" si="115"/>
        <v>118.398768</v>
      </c>
      <c r="S64" s="169">
        <f t="shared" si="116"/>
        <v>186.23</v>
      </c>
      <c r="T64" s="161">
        <f t="shared" si="117"/>
        <v>1.6593988034578939E-4</v>
      </c>
    </row>
    <row r="65" spans="2:20" ht="30" customHeight="1" x14ac:dyDescent="0.25">
      <c r="B65" s="162" t="s">
        <v>1359</v>
      </c>
      <c r="C65" s="160" t="s">
        <v>873</v>
      </c>
      <c r="D65" s="171" t="s">
        <v>874</v>
      </c>
      <c r="E65" s="163" t="s">
        <v>1346</v>
      </c>
      <c r="F65" s="160" t="s">
        <v>824</v>
      </c>
      <c r="G65" s="164">
        <v>139</v>
      </c>
      <c r="H65" s="165">
        <v>8.92</v>
      </c>
      <c r="I65" s="166">
        <v>5.64</v>
      </c>
      <c r="J65" s="167">
        <f t="shared" ref="J65:J66" si="120">TRUNC(SUM(H65:I65),2)</f>
        <v>14.56</v>
      </c>
      <c r="K65" s="168">
        <f t="shared" ref="K65:K66" si="121">+H65*G65</f>
        <v>1239.8799999999999</v>
      </c>
      <c r="L65" s="169">
        <f t="shared" ref="L65:L66" si="122">+I65*G65</f>
        <v>783.95999999999992</v>
      </c>
      <c r="M65" s="170">
        <f t="shared" ref="M65:M66" si="123">TRUNC(SUM(K65:L65),2)</f>
        <v>2023.84</v>
      </c>
      <c r="N65" s="165">
        <f t="shared" ref="N65:N66" si="124">+H65*(1+$T$10)</f>
        <v>10.878832000000001</v>
      </c>
      <c r="O65" s="166">
        <f t="shared" ref="O65:O66" si="125">+I65*(1+$T$10)</f>
        <v>6.8785439999999998</v>
      </c>
      <c r="P65" s="167">
        <f t="shared" ref="P65:P66" si="126">TRUNC(SUM(N65:O65),2)</f>
        <v>17.75</v>
      </c>
      <c r="Q65" s="168">
        <f t="shared" ref="Q65:Q66" si="127">+N65*G65</f>
        <v>1512.1576480000001</v>
      </c>
      <c r="R65" s="169">
        <f t="shared" ref="R65:R66" si="128">+O65*G65</f>
        <v>956.117616</v>
      </c>
      <c r="S65" s="169">
        <f t="shared" ref="S65:S66" si="129">TRUNC(SUM(Q65:R65),2)</f>
        <v>2468.27</v>
      </c>
      <c r="T65" s="161">
        <f t="shared" si="117"/>
        <v>2.1993471968055713E-3</v>
      </c>
    </row>
    <row r="66" spans="2:20" ht="30" customHeight="1" x14ac:dyDescent="0.25">
      <c r="B66" s="162" t="s">
        <v>1360</v>
      </c>
      <c r="C66" s="160" t="s">
        <v>876</v>
      </c>
      <c r="D66" s="171" t="s">
        <v>874</v>
      </c>
      <c r="E66" s="163" t="s">
        <v>1347</v>
      </c>
      <c r="F66" s="160" t="s">
        <v>225</v>
      </c>
      <c r="G66" s="164">
        <v>225</v>
      </c>
      <c r="H66" s="165">
        <v>9.85</v>
      </c>
      <c r="I66" s="166">
        <v>10.96</v>
      </c>
      <c r="J66" s="167">
        <f t="shared" si="120"/>
        <v>20.81</v>
      </c>
      <c r="K66" s="168">
        <f t="shared" si="121"/>
        <v>2216.25</v>
      </c>
      <c r="L66" s="169">
        <f t="shared" si="122"/>
        <v>2466</v>
      </c>
      <c r="M66" s="170">
        <f t="shared" si="123"/>
        <v>4682.25</v>
      </c>
      <c r="N66" s="165">
        <f t="shared" si="124"/>
        <v>12.013059999999999</v>
      </c>
      <c r="O66" s="166">
        <f t="shared" si="125"/>
        <v>13.366816000000002</v>
      </c>
      <c r="P66" s="167">
        <f t="shared" si="126"/>
        <v>25.37</v>
      </c>
      <c r="Q66" s="168">
        <f t="shared" si="127"/>
        <v>2702.9384999999997</v>
      </c>
      <c r="R66" s="169">
        <f t="shared" si="128"/>
        <v>3007.5336000000002</v>
      </c>
      <c r="S66" s="169">
        <f t="shared" si="129"/>
        <v>5710.47</v>
      </c>
      <c r="T66" s="161">
        <f t="shared" si="117"/>
        <v>5.0883032192354611E-3</v>
      </c>
    </row>
    <row r="67" spans="2:20" ht="30" customHeight="1" x14ac:dyDescent="0.25">
      <c r="B67" s="162" t="s">
        <v>863</v>
      </c>
      <c r="C67" s="160" t="s">
        <v>1225</v>
      </c>
      <c r="D67" s="171" t="s">
        <v>1226</v>
      </c>
      <c r="E67" s="163" t="s">
        <v>1227</v>
      </c>
      <c r="F67" s="160" t="s">
        <v>22</v>
      </c>
      <c r="G67" s="427">
        <v>5</v>
      </c>
      <c r="H67" s="165">
        <v>39.97</v>
      </c>
      <c r="I67" s="166">
        <f>511.56-H67</f>
        <v>471.59000000000003</v>
      </c>
      <c r="J67" s="167">
        <f t="shared" ref="J67" si="130">TRUNC(SUM(H67:I67),2)</f>
        <v>511.56</v>
      </c>
      <c r="K67" s="168">
        <f t="shared" ref="K67" si="131">+H67*G67</f>
        <v>199.85</v>
      </c>
      <c r="L67" s="169">
        <f t="shared" ref="L67" si="132">+I67*G67</f>
        <v>2357.9500000000003</v>
      </c>
      <c r="M67" s="415">
        <f t="shared" ref="M67" si="133">TRUNC(SUM(K67:L67),2)</f>
        <v>2557.8000000000002</v>
      </c>
      <c r="N67" s="165">
        <f t="shared" ref="N67" si="134">+H67*(1+$T$10)</f>
        <v>48.747411999999997</v>
      </c>
      <c r="O67" s="166">
        <f t="shared" ref="O67" si="135">+I67*(1+$T$10)</f>
        <v>575.15116399999999</v>
      </c>
      <c r="P67" s="167">
        <f t="shared" ref="P67" si="136">TRUNC(SUM(N67:O67),2)</f>
        <v>623.89</v>
      </c>
      <c r="Q67" s="168">
        <f t="shared" ref="Q67" si="137">+N67*G67</f>
        <v>243.73705999999999</v>
      </c>
      <c r="R67" s="169">
        <f t="shared" ref="R67" si="138">+O67*G67</f>
        <v>2875.7558199999999</v>
      </c>
      <c r="S67" s="169">
        <f t="shared" ref="S67" si="139">TRUNC(SUM(Q67:R67),2)</f>
        <v>3119.49</v>
      </c>
      <c r="T67" s="416">
        <f t="shared" si="117"/>
        <v>2.7796155149003195E-3</v>
      </c>
    </row>
    <row r="68" spans="2:20" ht="30" customHeight="1" x14ac:dyDescent="0.25">
      <c r="B68" s="162" t="s">
        <v>1361</v>
      </c>
      <c r="C68" s="160">
        <v>91953</v>
      </c>
      <c r="D68" s="171" t="s">
        <v>31</v>
      </c>
      <c r="E68" s="163" t="s">
        <v>1268</v>
      </c>
      <c r="F68" s="160" t="s">
        <v>22</v>
      </c>
      <c r="G68" s="427">
        <v>57</v>
      </c>
      <c r="H68" s="165">
        <v>8.75</v>
      </c>
      <c r="I68" s="166">
        <v>14.7</v>
      </c>
      <c r="J68" s="167">
        <f t="shared" ref="J68:J69" si="140">TRUNC(SUM(H68:I68),2)</f>
        <v>23.45</v>
      </c>
      <c r="K68" s="168">
        <f t="shared" ref="K68:K69" si="141">+H68*G68</f>
        <v>498.75</v>
      </c>
      <c r="L68" s="169">
        <f t="shared" ref="L68:L69" si="142">+I68*G68</f>
        <v>837.9</v>
      </c>
      <c r="M68" s="415">
        <f t="shared" ref="M68:M69" si="143">TRUNC(SUM(K68:L68),2)</f>
        <v>1336.65</v>
      </c>
      <c r="N68" s="165">
        <f t="shared" ref="N68:N69" si="144">+H68*(1+$T$10)</f>
        <v>10.6715</v>
      </c>
      <c r="O68" s="166">
        <f t="shared" ref="O68:O69" si="145">+I68*(1+$T$10)</f>
        <v>17.92812</v>
      </c>
      <c r="P68" s="167">
        <f t="shared" ref="P68:P69" si="146">TRUNC(SUM(N68:O68),2)</f>
        <v>28.59</v>
      </c>
      <c r="Q68" s="168">
        <f t="shared" ref="Q68:Q69" si="147">+N68*G68</f>
        <v>608.27549999999997</v>
      </c>
      <c r="R68" s="169">
        <f t="shared" ref="R68:R69" si="148">+O68*G68</f>
        <v>1021.90284</v>
      </c>
      <c r="S68" s="169">
        <f t="shared" ref="S68:S69" si="149">TRUNC(SUM(Q68:R68),2)</f>
        <v>1630.17</v>
      </c>
      <c r="T68" s="416">
        <f t="shared" si="117"/>
        <v>1.4525598171255731E-3</v>
      </c>
    </row>
    <row r="69" spans="2:20" ht="38.25" x14ac:dyDescent="0.25">
      <c r="B69" s="162" t="s">
        <v>864</v>
      </c>
      <c r="C69" s="160" t="s">
        <v>867</v>
      </c>
      <c r="D69" s="171" t="s">
        <v>31</v>
      </c>
      <c r="E69" s="163" t="s">
        <v>868</v>
      </c>
      <c r="F69" s="160" t="s">
        <v>22</v>
      </c>
      <c r="G69" s="427">
        <v>52</v>
      </c>
      <c r="H69" s="165">
        <v>18.54</v>
      </c>
      <c r="I69" s="166">
        <v>28.48</v>
      </c>
      <c r="J69" s="167">
        <f t="shared" si="140"/>
        <v>47.02</v>
      </c>
      <c r="K69" s="168">
        <f t="shared" si="141"/>
        <v>964.07999999999993</v>
      </c>
      <c r="L69" s="169">
        <f t="shared" si="142"/>
        <v>1480.96</v>
      </c>
      <c r="M69" s="415">
        <f t="shared" si="143"/>
        <v>2445.04</v>
      </c>
      <c r="N69" s="165">
        <f t="shared" si="144"/>
        <v>22.611384000000001</v>
      </c>
      <c r="O69" s="166">
        <f t="shared" si="145"/>
        <v>34.734208000000002</v>
      </c>
      <c r="P69" s="167">
        <f t="shared" si="146"/>
        <v>57.34</v>
      </c>
      <c r="Q69" s="168">
        <f t="shared" si="147"/>
        <v>1175.791968</v>
      </c>
      <c r="R69" s="169">
        <f t="shared" si="148"/>
        <v>1806.1788160000001</v>
      </c>
      <c r="S69" s="169">
        <f t="shared" si="149"/>
        <v>2981.97</v>
      </c>
      <c r="T69" s="416">
        <f t="shared" si="117"/>
        <v>2.6570785855916531E-3</v>
      </c>
    </row>
    <row r="70" spans="2:20" ht="30" customHeight="1" x14ac:dyDescent="0.25">
      <c r="B70" s="162"/>
      <c r="C70" s="160"/>
      <c r="D70" s="171"/>
      <c r="E70" s="163"/>
      <c r="F70" s="160"/>
      <c r="G70" s="164"/>
      <c r="H70" s="165"/>
      <c r="I70" s="166"/>
      <c r="J70" s="167"/>
      <c r="K70" s="168"/>
      <c r="L70" s="169"/>
      <c r="M70" s="170"/>
      <c r="N70" s="165"/>
      <c r="O70" s="166"/>
      <c r="P70" s="167"/>
      <c r="Q70" s="168"/>
      <c r="R70" s="169"/>
      <c r="S70" s="169"/>
      <c r="T70" s="161"/>
    </row>
    <row r="71" spans="2:20" ht="24.95" customHeight="1" x14ac:dyDescent="0.25">
      <c r="B71" s="326">
        <v>8</v>
      </c>
      <c r="C71" s="327"/>
      <c r="D71" s="327"/>
      <c r="E71" s="328" t="s">
        <v>880</v>
      </c>
      <c r="F71" s="329"/>
      <c r="G71" s="330"/>
      <c r="H71" s="331"/>
      <c r="I71" s="329"/>
      <c r="J71" s="332">
        <f t="shared" ref="J71" si="150">TRUNC(SUM(H71:I71),2)</f>
        <v>0</v>
      </c>
      <c r="K71" s="337">
        <f>SUM(K72:K79)</f>
        <v>3337.74</v>
      </c>
      <c r="L71" s="337">
        <f>SUM(L72:L79)</f>
        <v>9803.52</v>
      </c>
      <c r="M71" s="337">
        <f>SUM(M72:M79)</f>
        <v>13141.259999999998</v>
      </c>
      <c r="N71" s="353">
        <f t="shared" si="118"/>
        <v>0</v>
      </c>
      <c r="O71" s="354">
        <f t="shared" si="119"/>
        <v>0</v>
      </c>
      <c r="P71" s="355">
        <f t="shared" ref="P71" si="151">TRUNC(SUM(N71:O71),2)</f>
        <v>0</v>
      </c>
      <c r="Q71" s="337">
        <f>SUM(Q72:Q79)</f>
        <v>4070.7077039999995</v>
      </c>
      <c r="R71" s="337">
        <f>SUM(R72:R79)</f>
        <v>11956.372992000001</v>
      </c>
      <c r="S71" s="337">
        <f>SUM(S72:S79)</f>
        <v>16027.02</v>
      </c>
      <c r="T71" s="333">
        <f t="shared" ref="T71:T114" si="152">+S71/$S$201</f>
        <v>1.4280845089940254E-2</v>
      </c>
    </row>
    <row r="72" spans="2:20" ht="30" customHeight="1" x14ac:dyDescent="0.25">
      <c r="B72" s="162" t="s">
        <v>881</v>
      </c>
      <c r="C72" s="160" t="s">
        <v>889</v>
      </c>
      <c r="D72" s="171" t="s">
        <v>849</v>
      </c>
      <c r="E72" s="163" t="s">
        <v>890</v>
      </c>
      <c r="F72" s="160" t="s">
        <v>225</v>
      </c>
      <c r="G72" s="164">
        <v>2</v>
      </c>
      <c r="H72" s="165">
        <v>34.94</v>
      </c>
      <c r="I72" s="166">
        <v>57.68</v>
      </c>
      <c r="J72" s="167">
        <f t="shared" si="109"/>
        <v>92.62</v>
      </c>
      <c r="K72" s="168">
        <f t="shared" si="110"/>
        <v>69.88</v>
      </c>
      <c r="L72" s="169">
        <f t="shared" si="111"/>
        <v>115.36</v>
      </c>
      <c r="M72" s="170">
        <f t="shared" si="112"/>
        <v>185.24</v>
      </c>
      <c r="N72" s="165">
        <f t="shared" si="118"/>
        <v>42.612823999999996</v>
      </c>
      <c r="O72" s="166">
        <f t="shared" si="119"/>
        <v>70.346528000000006</v>
      </c>
      <c r="P72" s="167">
        <f t="shared" si="113"/>
        <v>112.95</v>
      </c>
      <c r="Q72" s="168">
        <f t="shared" si="114"/>
        <v>85.225647999999993</v>
      </c>
      <c r="R72" s="169">
        <f t="shared" si="115"/>
        <v>140.69305600000001</v>
      </c>
      <c r="S72" s="169">
        <f t="shared" si="116"/>
        <v>225.91</v>
      </c>
      <c r="T72" s="161">
        <f t="shared" si="152"/>
        <v>2.0129666739471234E-4</v>
      </c>
    </row>
    <row r="73" spans="2:20" ht="30" customHeight="1" x14ac:dyDescent="0.25">
      <c r="B73" s="162" t="s">
        <v>882</v>
      </c>
      <c r="C73" s="160">
        <v>64325</v>
      </c>
      <c r="D73" s="171" t="s">
        <v>212</v>
      </c>
      <c r="E73" s="163" t="s">
        <v>892</v>
      </c>
      <c r="F73" s="160" t="s">
        <v>22</v>
      </c>
      <c r="G73" s="164">
        <v>2</v>
      </c>
      <c r="H73" s="165">
        <v>12.21</v>
      </c>
      <c r="I73" s="166">
        <v>61.4</v>
      </c>
      <c r="J73" s="167">
        <f t="shared" si="109"/>
        <v>73.61</v>
      </c>
      <c r="K73" s="168">
        <f t="shared" si="110"/>
        <v>24.42</v>
      </c>
      <c r="L73" s="169">
        <f t="shared" si="111"/>
        <v>122.8</v>
      </c>
      <c r="M73" s="170">
        <f t="shared" si="112"/>
        <v>147.22</v>
      </c>
      <c r="N73" s="165">
        <f t="shared" si="118"/>
        <v>14.891316000000002</v>
      </c>
      <c r="O73" s="166">
        <f t="shared" si="119"/>
        <v>74.883439999999993</v>
      </c>
      <c r="P73" s="167">
        <f t="shared" si="113"/>
        <v>89.77</v>
      </c>
      <c r="Q73" s="168">
        <f t="shared" si="114"/>
        <v>29.782632000000003</v>
      </c>
      <c r="R73" s="169">
        <f t="shared" si="115"/>
        <v>149.76687999999999</v>
      </c>
      <c r="S73" s="169">
        <f t="shared" si="116"/>
        <v>179.54</v>
      </c>
      <c r="T73" s="161">
        <f t="shared" si="152"/>
        <v>1.5997876881964788E-4</v>
      </c>
    </row>
    <row r="74" spans="2:20" ht="30" customHeight="1" x14ac:dyDescent="0.25">
      <c r="B74" s="162" t="s">
        <v>883</v>
      </c>
      <c r="C74" s="160">
        <v>93671</v>
      </c>
      <c r="D74" s="171" t="s">
        <v>31</v>
      </c>
      <c r="E74" s="163" t="s">
        <v>743</v>
      </c>
      <c r="F74" s="160" t="s">
        <v>22</v>
      </c>
      <c r="G74" s="164">
        <v>4</v>
      </c>
      <c r="H74" s="165">
        <v>8.1</v>
      </c>
      <c r="I74" s="166">
        <v>75.7</v>
      </c>
      <c r="J74" s="167">
        <f t="shared" ref="J74:J76" si="153">TRUNC(SUM(H74:I74),2)</f>
        <v>83.8</v>
      </c>
      <c r="K74" s="168">
        <f t="shared" ref="K74:K76" si="154">+H74*G74</f>
        <v>32.4</v>
      </c>
      <c r="L74" s="169">
        <f t="shared" ref="L74:L76" si="155">+I74*G74</f>
        <v>302.8</v>
      </c>
      <c r="M74" s="170">
        <f t="shared" ref="M74:M76" si="156">TRUNC(SUM(K74:L74),2)</f>
        <v>335.2</v>
      </c>
      <c r="N74" s="165">
        <f t="shared" si="118"/>
        <v>9.8787599999999998</v>
      </c>
      <c r="O74" s="166">
        <f t="shared" si="119"/>
        <v>92.323720000000009</v>
      </c>
      <c r="P74" s="167">
        <f t="shared" ref="P74:P76" si="157">TRUNC(SUM(N74:O74),2)</f>
        <v>102.2</v>
      </c>
      <c r="Q74" s="168">
        <f t="shared" ref="Q74:Q76" si="158">+N74*G74</f>
        <v>39.515039999999999</v>
      </c>
      <c r="R74" s="169">
        <f t="shared" ref="R74:R76" si="159">+O74*G74</f>
        <v>369.29488000000003</v>
      </c>
      <c r="S74" s="169">
        <f t="shared" ref="S74:S76" si="160">TRUNC(SUM(Q74:R74),2)</f>
        <v>408.8</v>
      </c>
      <c r="T74" s="161">
        <f t="shared" si="152"/>
        <v>3.6426044721773456E-4</v>
      </c>
    </row>
    <row r="75" spans="2:20" ht="30" customHeight="1" x14ac:dyDescent="0.25">
      <c r="B75" s="162" t="s">
        <v>884</v>
      </c>
      <c r="C75" s="160" t="s">
        <v>894</v>
      </c>
      <c r="D75" s="171" t="s">
        <v>849</v>
      </c>
      <c r="E75" s="163" t="s">
        <v>895</v>
      </c>
      <c r="F75" s="160" t="s">
        <v>225</v>
      </c>
      <c r="G75" s="164">
        <v>4</v>
      </c>
      <c r="H75" s="165">
        <v>34.94</v>
      </c>
      <c r="I75" s="166">
        <v>57.68</v>
      </c>
      <c r="J75" s="167">
        <f t="shared" si="153"/>
        <v>92.62</v>
      </c>
      <c r="K75" s="168">
        <f t="shared" si="154"/>
        <v>139.76</v>
      </c>
      <c r="L75" s="169">
        <f t="shared" si="155"/>
        <v>230.72</v>
      </c>
      <c r="M75" s="170">
        <f t="shared" si="156"/>
        <v>370.48</v>
      </c>
      <c r="N75" s="165">
        <f t="shared" si="118"/>
        <v>42.612823999999996</v>
      </c>
      <c r="O75" s="166">
        <f t="shared" si="119"/>
        <v>70.346528000000006</v>
      </c>
      <c r="P75" s="167">
        <f t="shared" si="157"/>
        <v>112.95</v>
      </c>
      <c r="Q75" s="168">
        <f t="shared" si="158"/>
        <v>170.45129599999999</v>
      </c>
      <c r="R75" s="169">
        <f t="shared" si="159"/>
        <v>281.38611200000003</v>
      </c>
      <c r="S75" s="169">
        <f t="shared" si="160"/>
        <v>451.83</v>
      </c>
      <c r="T75" s="161">
        <f t="shared" si="152"/>
        <v>4.0260224527003177E-4</v>
      </c>
    </row>
    <row r="76" spans="2:20" ht="30" customHeight="1" x14ac:dyDescent="0.25">
      <c r="B76" s="162" t="s">
        <v>885</v>
      </c>
      <c r="C76" s="160" t="s">
        <v>896</v>
      </c>
      <c r="D76" s="171" t="s">
        <v>849</v>
      </c>
      <c r="E76" s="163" t="s">
        <v>897</v>
      </c>
      <c r="F76" s="160" t="s">
        <v>225</v>
      </c>
      <c r="G76" s="164">
        <v>4</v>
      </c>
      <c r="H76" s="165">
        <v>34.94</v>
      </c>
      <c r="I76" s="166">
        <v>57.68</v>
      </c>
      <c r="J76" s="167">
        <f t="shared" si="153"/>
        <v>92.62</v>
      </c>
      <c r="K76" s="168">
        <f t="shared" si="154"/>
        <v>139.76</v>
      </c>
      <c r="L76" s="169">
        <f t="shared" si="155"/>
        <v>230.72</v>
      </c>
      <c r="M76" s="170">
        <f t="shared" si="156"/>
        <v>370.48</v>
      </c>
      <c r="N76" s="165">
        <f t="shared" si="118"/>
        <v>42.612823999999996</v>
      </c>
      <c r="O76" s="166">
        <f t="shared" si="119"/>
        <v>70.346528000000006</v>
      </c>
      <c r="P76" s="167">
        <f t="shared" si="157"/>
        <v>112.95</v>
      </c>
      <c r="Q76" s="168">
        <f t="shared" si="158"/>
        <v>170.45129599999999</v>
      </c>
      <c r="R76" s="169">
        <f t="shared" si="159"/>
        <v>281.38611200000003</v>
      </c>
      <c r="S76" s="169">
        <f t="shared" si="160"/>
        <v>451.83</v>
      </c>
      <c r="T76" s="161">
        <f t="shared" si="152"/>
        <v>4.0260224527003177E-4</v>
      </c>
    </row>
    <row r="77" spans="2:20" ht="30" customHeight="1" x14ac:dyDescent="0.25">
      <c r="B77" s="162" t="s">
        <v>886</v>
      </c>
      <c r="C77" s="160" t="s">
        <v>898</v>
      </c>
      <c r="D77" s="171" t="s">
        <v>264</v>
      </c>
      <c r="E77" s="163" t="s">
        <v>899</v>
      </c>
      <c r="F77" s="160" t="s">
        <v>22</v>
      </c>
      <c r="G77" s="164">
        <v>152</v>
      </c>
      <c r="H77" s="165">
        <v>12.58</v>
      </c>
      <c r="I77" s="166">
        <v>17.32</v>
      </c>
      <c r="J77" s="167">
        <f t="shared" ref="J77:J79" si="161">TRUNC(SUM(H77:I77),2)</f>
        <v>29.9</v>
      </c>
      <c r="K77" s="168">
        <f t="shared" ref="K77" si="162">+H77*G77</f>
        <v>1912.16</v>
      </c>
      <c r="L77" s="169">
        <f t="shared" ref="L77" si="163">+I77*G77</f>
        <v>2632.64</v>
      </c>
      <c r="M77" s="170">
        <f t="shared" ref="M77" si="164">TRUNC(SUM(K77:L77),2)</f>
        <v>4544.8</v>
      </c>
      <c r="N77" s="165">
        <f t="shared" si="118"/>
        <v>15.342568</v>
      </c>
      <c r="O77" s="166">
        <f t="shared" si="119"/>
        <v>21.123472</v>
      </c>
      <c r="P77" s="167">
        <f t="shared" ref="P77:P79" si="165">TRUNC(SUM(N77:O77),2)</f>
        <v>36.46</v>
      </c>
      <c r="Q77" s="168">
        <f t="shared" ref="Q77:Q79" si="166">+N77*G77</f>
        <v>2332.0703359999998</v>
      </c>
      <c r="R77" s="169">
        <f t="shared" ref="R77:R79" si="167">+O77*G77</f>
        <v>3210.7677439999998</v>
      </c>
      <c r="S77" s="169">
        <f t="shared" ref="S77:S79" si="168">TRUNC(SUM(Q77:R77),2)</f>
        <v>5542.83</v>
      </c>
      <c r="T77" s="161">
        <f t="shared" si="152"/>
        <v>4.9389279223382475E-3</v>
      </c>
    </row>
    <row r="78" spans="2:20" ht="30" customHeight="1" x14ac:dyDescent="0.25">
      <c r="B78" s="162" t="s">
        <v>887</v>
      </c>
      <c r="C78" s="160" t="s">
        <v>900</v>
      </c>
      <c r="D78" s="171" t="s">
        <v>124</v>
      </c>
      <c r="E78" s="163" t="s">
        <v>901</v>
      </c>
      <c r="F78" s="160" t="s">
        <v>22</v>
      </c>
      <c r="G78" s="164">
        <v>16</v>
      </c>
      <c r="H78" s="165">
        <v>2.0699999999999998</v>
      </c>
      <c r="I78" s="166">
        <v>151.47</v>
      </c>
      <c r="J78" s="167">
        <f t="shared" si="161"/>
        <v>153.54</v>
      </c>
      <c r="K78" s="168">
        <f t="shared" ref="K78:K79" si="169">+H78*G78</f>
        <v>33.119999999999997</v>
      </c>
      <c r="L78" s="169">
        <f t="shared" ref="L78:L79" si="170">+I78*G78</f>
        <v>2423.52</v>
      </c>
      <c r="M78" s="170">
        <f t="shared" ref="M78:M79" si="171">TRUNC(SUM(K78:L78),2)</f>
        <v>2456.64</v>
      </c>
      <c r="N78" s="165">
        <f t="shared" si="118"/>
        <v>2.524572</v>
      </c>
      <c r="O78" s="166">
        <f t="shared" si="119"/>
        <v>184.732812</v>
      </c>
      <c r="P78" s="167">
        <f t="shared" si="165"/>
        <v>187.25</v>
      </c>
      <c r="Q78" s="168">
        <f t="shared" si="166"/>
        <v>40.393152000000001</v>
      </c>
      <c r="R78" s="169">
        <f t="shared" si="167"/>
        <v>2955.7249919999999</v>
      </c>
      <c r="S78" s="169">
        <f t="shared" si="168"/>
        <v>2996.11</v>
      </c>
      <c r="T78" s="161">
        <f t="shared" si="152"/>
        <v>2.6696780051700749E-3</v>
      </c>
    </row>
    <row r="79" spans="2:20" ht="30" customHeight="1" x14ac:dyDescent="0.25">
      <c r="B79" s="162" t="s">
        <v>888</v>
      </c>
      <c r="C79" s="160">
        <v>71184</v>
      </c>
      <c r="D79" s="171" t="s">
        <v>874</v>
      </c>
      <c r="E79" s="163" t="s">
        <v>903</v>
      </c>
      <c r="F79" s="160" t="s">
        <v>824</v>
      </c>
      <c r="G79" s="164">
        <v>32</v>
      </c>
      <c r="H79" s="165">
        <v>30.82</v>
      </c>
      <c r="I79" s="166">
        <v>117.03</v>
      </c>
      <c r="J79" s="167">
        <f t="shared" si="161"/>
        <v>147.85</v>
      </c>
      <c r="K79" s="168">
        <f t="shared" si="169"/>
        <v>986.24</v>
      </c>
      <c r="L79" s="169">
        <f t="shared" si="170"/>
        <v>3744.96</v>
      </c>
      <c r="M79" s="170">
        <f t="shared" si="171"/>
        <v>4731.2</v>
      </c>
      <c r="N79" s="165">
        <f t="shared" si="118"/>
        <v>37.588072000000004</v>
      </c>
      <c r="O79" s="166">
        <f t="shared" si="119"/>
        <v>142.72978800000001</v>
      </c>
      <c r="P79" s="167">
        <f t="shared" si="165"/>
        <v>180.31</v>
      </c>
      <c r="Q79" s="168">
        <f t="shared" si="166"/>
        <v>1202.8183040000001</v>
      </c>
      <c r="R79" s="169">
        <f t="shared" si="167"/>
        <v>4567.3532160000004</v>
      </c>
      <c r="S79" s="169">
        <f t="shared" si="168"/>
        <v>5770.17</v>
      </c>
      <c r="T79" s="161">
        <f t="shared" si="152"/>
        <v>5.1414987884597736E-3</v>
      </c>
    </row>
    <row r="80" spans="2:20" ht="39.950000000000003" customHeight="1" x14ac:dyDescent="0.25">
      <c r="B80" s="162"/>
      <c r="C80" s="160"/>
      <c r="D80" s="171"/>
      <c r="E80" s="163"/>
      <c r="F80" s="160"/>
      <c r="G80" s="164"/>
      <c r="H80" s="165"/>
      <c r="I80" s="166"/>
      <c r="J80" s="167">
        <f t="shared" ref="J80" si="172">TRUNC(SUM(H80:I80),2)</f>
        <v>0</v>
      </c>
      <c r="K80" s="168">
        <f t="shared" ref="K80" si="173">+H80*G80</f>
        <v>0</v>
      </c>
      <c r="L80" s="169">
        <f t="shared" ref="L80" si="174">+I80*G80</f>
        <v>0</v>
      </c>
      <c r="M80" s="170">
        <f t="shared" ref="M80" si="175">TRUNC(SUM(K80:L80),2)</f>
        <v>0</v>
      </c>
      <c r="N80" s="165">
        <f t="shared" si="118"/>
        <v>0</v>
      </c>
      <c r="O80" s="166">
        <f t="shared" si="119"/>
        <v>0</v>
      </c>
      <c r="P80" s="167">
        <f t="shared" ref="P80" si="176">TRUNC(SUM(N80:O80),2)</f>
        <v>0</v>
      </c>
      <c r="Q80" s="168">
        <f t="shared" ref="Q80" si="177">+N80*G80</f>
        <v>0</v>
      </c>
      <c r="R80" s="169">
        <f t="shared" ref="R80" si="178">+O80*G80</f>
        <v>0</v>
      </c>
      <c r="S80" s="169">
        <f t="shared" ref="S80" si="179">TRUNC(SUM(Q80:R80),2)</f>
        <v>0</v>
      </c>
      <c r="T80" s="161">
        <f t="shared" si="152"/>
        <v>0</v>
      </c>
    </row>
    <row r="81" spans="2:20" ht="30" customHeight="1" x14ac:dyDescent="0.25">
      <c r="B81" s="326">
        <v>9</v>
      </c>
      <c r="C81" s="327"/>
      <c r="D81" s="327"/>
      <c r="E81" s="328" t="s">
        <v>1119</v>
      </c>
      <c r="F81" s="329"/>
      <c r="G81" s="330"/>
      <c r="H81" s="331"/>
      <c r="I81" s="329"/>
      <c r="J81" s="332">
        <f t="shared" si="58"/>
        <v>0</v>
      </c>
      <c r="K81" s="337">
        <f>SUM(K82:K102)</f>
        <v>9080.7680000000018</v>
      </c>
      <c r="L81" s="337">
        <f>SUM(L82:L102)</f>
        <v>30471.431999999997</v>
      </c>
      <c r="M81" s="337">
        <f>SUM(M82:M102)</f>
        <v>39552.19</v>
      </c>
      <c r="N81" s="353">
        <f t="shared" si="118"/>
        <v>0</v>
      </c>
      <c r="O81" s="354">
        <f t="shared" si="119"/>
        <v>0</v>
      </c>
      <c r="P81" s="355">
        <f t="shared" si="60"/>
        <v>0</v>
      </c>
      <c r="Q81" s="337">
        <f>SUM(Q82:Q102)</f>
        <v>11074.9046528</v>
      </c>
      <c r="R81" s="337">
        <f>SUM(R82:R102)</f>
        <v>37162.958467200006</v>
      </c>
      <c r="S81" s="337">
        <f>SUM(S82:S102)</f>
        <v>48237.760000000009</v>
      </c>
      <c r="T81" s="333">
        <f t="shared" si="152"/>
        <v>4.2982162500933827E-2</v>
      </c>
    </row>
    <row r="82" spans="2:20" ht="30" customHeight="1" x14ac:dyDescent="0.25">
      <c r="B82" s="162" t="s">
        <v>904</v>
      </c>
      <c r="C82" s="160" t="s">
        <v>915</v>
      </c>
      <c r="D82" s="171" t="s">
        <v>124</v>
      </c>
      <c r="E82" s="163" t="s">
        <v>916</v>
      </c>
      <c r="F82" s="160" t="s">
        <v>35</v>
      </c>
      <c r="G82" s="427">
        <v>203.8</v>
      </c>
      <c r="H82" s="165">
        <v>14.53</v>
      </c>
      <c r="I82" s="166">
        <v>38.159999999999997</v>
      </c>
      <c r="J82" s="167">
        <f t="shared" si="58"/>
        <v>52.69</v>
      </c>
      <c r="K82" s="168">
        <f>+H82*G82</f>
        <v>2961.2139999999999</v>
      </c>
      <c r="L82" s="169">
        <f>+I82*G82</f>
        <v>7777.0079999999998</v>
      </c>
      <c r="M82" s="415">
        <f t="shared" ref="M82" si="180">TRUNC(SUM(K82:L82),2)</f>
        <v>10738.22</v>
      </c>
      <c r="N82" s="165">
        <f t="shared" si="118"/>
        <v>17.720787999999999</v>
      </c>
      <c r="O82" s="166">
        <f t="shared" si="119"/>
        <v>46.539935999999997</v>
      </c>
      <c r="P82" s="167">
        <f t="shared" si="60"/>
        <v>64.260000000000005</v>
      </c>
      <c r="Q82" s="168">
        <f t="shared" si="61"/>
        <v>3611.4965944</v>
      </c>
      <c r="R82" s="169">
        <f t="shared" si="62"/>
        <v>9484.8389568000002</v>
      </c>
      <c r="S82" s="169">
        <f t="shared" si="63"/>
        <v>13096.33</v>
      </c>
      <c r="T82" s="416">
        <f t="shared" si="152"/>
        <v>1.1669459448901744E-2</v>
      </c>
    </row>
    <row r="83" spans="2:20" ht="30" customHeight="1" x14ac:dyDescent="0.25">
      <c r="B83" s="162" t="s">
        <v>905</v>
      </c>
      <c r="C83" s="160">
        <v>60107</v>
      </c>
      <c r="D83" s="171" t="s">
        <v>212</v>
      </c>
      <c r="E83" s="163" t="s">
        <v>739</v>
      </c>
      <c r="F83" s="160" t="s">
        <v>35</v>
      </c>
      <c r="G83" s="427">
        <v>40.9</v>
      </c>
      <c r="H83" s="165">
        <v>14.83</v>
      </c>
      <c r="I83" s="166">
        <v>33.25</v>
      </c>
      <c r="J83" s="167">
        <f t="shared" ref="J83:J90" si="181">TRUNC(SUM(H83:I83),2)</f>
        <v>48.08</v>
      </c>
      <c r="K83" s="168">
        <f t="shared" ref="K83:K90" si="182">+H83*G83</f>
        <v>606.54700000000003</v>
      </c>
      <c r="L83" s="169">
        <f t="shared" ref="L83:L90" si="183">+I83*G83</f>
        <v>1359.925</v>
      </c>
      <c r="M83" s="415">
        <f t="shared" ref="M83:M90" si="184">TRUNC(SUM(K83:L83),2)</f>
        <v>1966.47</v>
      </c>
      <c r="N83" s="165">
        <f t="shared" ref="N83:N90" si="185">+H83*(1+$T$10)</f>
        <v>18.086668</v>
      </c>
      <c r="O83" s="166">
        <f t="shared" ref="O83:O90" si="186">+I83*(1+$T$10)</f>
        <v>40.551700000000004</v>
      </c>
      <c r="P83" s="167">
        <f t="shared" ref="P83:P90" si="187">TRUNC(SUM(N83:O83),2)</f>
        <v>58.63</v>
      </c>
      <c r="Q83" s="168">
        <f t="shared" ref="Q83:Q90" si="188">+N83*G83</f>
        <v>739.74472119999996</v>
      </c>
      <c r="R83" s="169">
        <f t="shared" ref="R83:R90" si="189">+O83*G83</f>
        <v>1658.5645300000001</v>
      </c>
      <c r="S83" s="169">
        <f t="shared" ref="S83:S90" si="190">TRUNC(SUM(Q83:R83),2)</f>
        <v>2398.3000000000002</v>
      </c>
      <c r="T83" s="416">
        <f t="shared" si="152"/>
        <v>2.1370005639977808E-3</v>
      </c>
    </row>
    <row r="84" spans="2:20" ht="30" customHeight="1" x14ac:dyDescent="0.25">
      <c r="B84" s="162" t="s">
        <v>906</v>
      </c>
      <c r="C84" s="160">
        <v>63583</v>
      </c>
      <c r="D84" s="171" t="s">
        <v>212</v>
      </c>
      <c r="E84" s="163" t="s">
        <v>749</v>
      </c>
      <c r="F84" s="160" t="s">
        <v>22</v>
      </c>
      <c r="G84" s="427">
        <v>183</v>
      </c>
      <c r="H84" s="165">
        <v>0.67</v>
      </c>
      <c r="I84" s="166">
        <v>4.3899999999999997</v>
      </c>
      <c r="J84" s="167">
        <f t="shared" si="181"/>
        <v>5.0599999999999996</v>
      </c>
      <c r="K84" s="168">
        <f t="shared" si="182"/>
        <v>122.61000000000001</v>
      </c>
      <c r="L84" s="169">
        <f t="shared" si="183"/>
        <v>803.36999999999989</v>
      </c>
      <c r="M84" s="415">
        <f t="shared" si="184"/>
        <v>925.98</v>
      </c>
      <c r="N84" s="165">
        <f t="shared" si="185"/>
        <v>0.81713200000000008</v>
      </c>
      <c r="O84" s="166">
        <f t="shared" si="186"/>
        <v>5.354044</v>
      </c>
      <c r="P84" s="167">
        <f t="shared" si="187"/>
        <v>6.17</v>
      </c>
      <c r="Q84" s="168">
        <f t="shared" si="188"/>
        <v>149.535156</v>
      </c>
      <c r="R84" s="169">
        <f t="shared" si="189"/>
        <v>979.79005200000006</v>
      </c>
      <c r="S84" s="169">
        <f t="shared" si="190"/>
        <v>1129.32</v>
      </c>
      <c r="T84" s="416">
        <f t="shared" si="152"/>
        <v>1.0062783959195987E-3</v>
      </c>
    </row>
    <row r="85" spans="2:20" ht="30" customHeight="1" x14ac:dyDescent="0.25">
      <c r="B85" s="162" t="s">
        <v>907</v>
      </c>
      <c r="C85" s="160" t="s">
        <v>918</v>
      </c>
      <c r="D85" s="171" t="s">
        <v>124</v>
      </c>
      <c r="E85" s="163" t="s">
        <v>919</v>
      </c>
      <c r="F85" s="160" t="s">
        <v>22</v>
      </c>
      <c r="G85" s="427">
        <v>86</v>
      </c>
      <c r="H85" s="165">
        <v>2.95</v>
      </c>
      <c r="I85" s="166">
        <v>39.01</v>
      </c>
      <c r="J85" s="167">
        <f t="shared" si="181"/>
        <v>41.96</v>
      </c>
      <c r="K85" s="168">
        <f t="shared" si="182"/>
        <v>253.70000000000002</v>
      </c>
      <c r="L85" s="169">
        <f t="shared" si="183"/>
        <v>3354.8599999999997</v>
      </c>
      <c r="M85" s="415">
        <f t="shared" si="184"/>
        <v>3608.56</v>
      </c>
      <c r="N85" s="165">
        <f t="shared" si="185"/>
        <v>3.5978200000000005</v>
      </c>
      <c r="O85" s="166">
        <f t="shared" si="186"/>
        <v>47.576595999999995</v>
      </c>
      <c r="P85" s="167">
        <f t="shared" si="187"/>
        <v>51.17</v>
      </c>
      <c r="Q85" s="168">
        <f t="shared" si="188"/>
        <v>309.41252000000003</v>
      </c>
      <c r="R85" s="169">
        <f t="shared" si="189"/>
        <v>4091.5872559999998</v>
      </c>
      <c r="S85" s="169">
        <f t="shared" si="190"/>
        <v>4400.99</v>
      </c>
      <c r="T85" s="416">
        <f t="shared" si="152"/>
        <v>3.9214936046985749E-3</v>
      </c>
    </row>
    <row r="86" spans="2:20" ht="30" customHeight="1" x14ac:dyDescent="0.25">
      <c r="B86" s="162" t="s">
        <v>908</v>
      </c>
      <c r="C86" s="160" t="s">
        <v>748</v>
      </c>
      <c r="D86" s="171" t="s">
        <v>124</v>
      </c>
      <c r="E86" s="163" t="s">
        <v>493</v>
      </c>
      <c r="F86" s="160" t="s">
        <v>225</v>
      </c>
      <c r="G86" s="427">
        <v>132</v>
      </c>
      <c r="H86" s="165">
        <v>2.95</v>
      </c>
      <c r="I86" s="166">
        <v>3.07</v>
      </c>
      <c r="J86" s="167">
        <f t="shared" si="181"/>
        <v>6.02</v>
      </c>
      <c r="K86" s="168">
        <f t="shared" si="182"/>
        <v>389.40000000000003</v>
      </c>
      <c r="L86" s="169">
        <f t="shared" si="183"/>
        <v>405.23999999999995</v>
      </c>
      <c r="M86" s="415">
        <f t="shared" si="184"/>
        <v>794.64</v>
      </c>
      <c r="N86" s="165">
        <f t="shared" si="185"/>
        <v>3.5978200000000005</v>
      </c>
      <c r="O86" s="166">
        <f t="shared" si="186"/>
        <v>3.7441719999999998</v>
      </c>
      <c r="P86" s="167">
        <f t="shared" si="187"/>
        <v>7.34</v>
      </c>
      <c r="Q86" s="168">
        <f t="shared" si="188"/>
        <v>474.91224000000005</v>
      </c>
      <c r="R86" s="169">
        <f t="shared" si="189"/>
        <v>494.230704</v>
      </c>
      <c r="S86" s="169">
        <f t="shared" si="190"/>
        <v>969.14</v>
      </c>
      <c r="T86" s="416">
        <f t="shared" si="152"/>
        <v>8.6355031755527216E-4</v>
      </c>
    </row>
    <row r="87" spans="2:20" ht="30" customHeight="1" x14ac:dyDescent="0.25">
      <c r="B87" s="162" t="s">
        <v>909</v>
      </c>
      <c r="C87" s="160" t="s">
        <v>920</v>
      </c>
      <c r="D87" s="171" t="s">
        <v>124</v>
      </c>
      <c r="E87" s="163" t="s">
        <v>921</v>
      </c>
      <c r="F87" s="160" t="s">
        <v>225</v>
      </c>
      <c r="G87" s="427">
        <v>30</v>
      </c>
      <c r="H87" s="165">
        <v>2.86</v>
      </c>
      <c r="I87" s="166">
        <v>2.33</v>
      </c>
      <c r="J87" s="167">
        <f t="shared" si="181"/>
        <v>5.19</v>
      </c>
      <c r="K87" s="168">
        <f t="shared" si="182"/>
        <v>85.8</v>
      </c>
      <c r="L87" s="169">
        <f t="shared" si="183"/>
        <v>69.900000000000006</v>
      </c>
      <c r="M87" s="415">
        <f t="shared" si="184"/>
        <v>155.69999999999999</v>
      </c>
      <c r="N87" s="165">
        <f t="shared" si="185"/>
        <v>3.4880559999999998</v>
      </c>
      <c r="O87" s="166">
        <f t="shared" si="186"/>
        <v>2.8416680000000003</v>
      </c>
      <c r="P87" s="167">
        <f t="shared" si="187"/>
        <v>6.32</v>
      </c>
      <c r="Q87" s="168">
        <f t="shared" si="188"/>
        <v>104.64167999999999</v>
      </c>
      <c r="R87" s="169">
        <f t="shared" si="189"/>
        <v>85.250040000000013</v>
      </c>
      <c r="S87" s="169">
        <f t="shared" si="190"/>
        <v>189.89</v>
      </c>
      <c r="T87" s="416">
        <f t="shared" si="152"/>
        <v>1.6920111624798339E-4</v>
      </c>
    </row>
    <row r="88" spans="2:20" ht="30" customHeight="1" x14ac:dyDescent="0.25">
      <c r="B88" s="162" t="s">
        <v>910</v>
      </c>
      <c r="C88" s="160" t="s">
        <v>1352</v>
      </c>
      <c r="D88" s="171" t="s">
        <v>124</v>
      </c>
      <c r="E88" s="163" t="s">
        <v>302</v>
      </c>
      <c r="F88" s="160" t="s">
        <v>35</v>
      </c>
      <c r="G88" s="427">
        <v>117.3</v>
      </c>
      <c r="H88" s="165">
        <v>26.53</v>
      </c>
      <c r="I88" s="166">
        <v>22.71</v>
      </c>
      <c r="J88" s="167">
        <f t="shared" si="181"/>
        <v>49.24</v>
      </c>
      <c r="K88" s="168">
        <f t="shared" si="182"/>
        <v>3111.9690000000001</v>
      </c>
      <c r="L88" s="169">
        <f t="shared" si="183"/>
        <v>2663.8829999999998</v>
      </c>
      <c r="M88" s="415">
        <f t="shared" si="184"/>
        <v>5775.85</v>
      </c>
      <c r="N88" s="165">
        <f t="shared" si="185"/>
        <v>32.355988000000004</v>
      </c>
      <c r="O88" s="166">
        <f t="shared" si="186"/>
        <v>27.697116000000001</v>
      </c>
      <c r="P88" s="167">
        <f t="shared" si="187"/>
        <v>60.05</v>
      </c>
      <c r="Q88" s="168">
        <f t="shared" si="188"/>
        <v>3795.3573924000002</v>
      </c>
      <c r="R88" s="169">
        <f t="shared" si="189"/>
        <v>3248.8717068000001</v>
      </c>
      <c r="S88" s="169">
        <f t="shared" si="190"/>
        <v>7044.22</v>
      </c>
      <c r="T88" s="416">
        <f t="shared" si="152"/>
        <v>6.2767385702057485E-3</v>
      </c>
    </row>
    <row r="89" spans="2:20" ht="30" customHeight="1" x14ac:dyDescent="0.25">
      <c r="B89" s="162" t="s">
        <v>911</v>
      </c>
      <c r="C89" s="160">
        <v>9526</v>
      </c>
      <c r="D89" s="171" t="s">
        <v>175</v>
      </c>
      <c r="E89" s="163" t="s">
        <v>923</v>
      </c>
      <c r="F89" s="160" t="s">
        <v>225</v>
      </c>
      <c r="G89" s="427">
        <v>49</v>
      </c>
      <c r="H89" s="165">
        <v>5.6</v>
      </c>
      <c r="I89" s="166">
        <v>6.32</v>
      </c>
      <c r="J89" s="167">
        <f t="shared" si="181"/>
        <v>11.92</v>
      </c>
      <c r="K89" s="168">
        <f t="shared" si="182"/>
        <v>274.39999999999998</v>
      </c>
      <c r="L89" s="169">
        <f t="shared" si="183"/>
        <v>309.68</v>
      </c>
      <c r="M89" s="415">
        <f t="shared" si="184"/>
        <v>584.08000000000004</v>
      </c>
      <c r="N89" s="165">
        <f t="shared" si="185"/>
        <v>6.8297599999999994</v>
      </c>
      <c r="O89" s="166">
        <f t="shared" si="186"/>
        <v>7.7078720000000001</v>
      </c>
      <c r="P89" s="167">
        <f t="shared" si="187"/>
        <v>14.53</v>
      </c>
      <c r="Q89" s="168">
        <f t="shared" si="188"/>
        <v>334.65823999999998</v>
      </c>
      <c r="R89" s="169">
        <f t="shared" si="189"/>
        <v>377.68572799999998</v>
      </c>
      <c r="S89" s="169">
        <f t="shared" si="190"/>
        <v>712.34</v>
      </c>
      <c r="T89" s="416">
        <f t="shared" si="152"/>
        <v>6.3472917556526675E-4</v>
      </c>
    </row>
    <row r="90" spans="2:20" ht="30" customHeight="1" x14ac:dyDescent="0.25">
      <c r="B90" s="162" t="s">
        <v>912</v>
      </c>
      <c r="C90" s="160" t="s">
        <v>747</v>
      </c>
      <c r="D90" s="171" t="s">
        <v>124</v>
      </c>
      <c r="E90" s="163" t="s">
        <v>443</v>
      </c>
      <c r="F90" s="160" t="s">
        <v>22</v>
      </c>
      <c r="G90" s="427">
        <v>1</v>
      </c>
      <c r="H90" s="165">
        <v>2.95</v>
      </c>
      <c r="I90" s="166">
        <v>2.34</v>
      </c>
      <c r="J90" s="167">
        <f t="shared" si="181"/>
        <v>5.29</v>
      </c>
      <c r="K90" s="168">
        <f t="shared" si="182"/>
        <v>2.95</v>
      </c>
      <c r="L90" s="169">
        <f t="shared" si="183"/>
        <v>2.34</v>
      </c>
      <c r="M90" s="415">
        <f t="shared" si="184"/>
        <v>5.29</v>
      </c>
      <c r="N90" s="165">
        <f t="shared" si="185"/>
        <v>3.5978200000000005</v>
      </c>
      <c r="O90" s="166">
        <f t="shared" si="186"/>
        <v>2.8538639999999997</v>
      </c>
      <c r="P90" s="167">
        <f t="shared" si="187"/>
        <v>6.45</v>
      </c>
      <c r="Q90" s="168">
        <f t="shared" si="188"/>
        <v>3.5978200000000005</v>
      </c>
      <c r="R90" s="169">
        <f t="shared" si="189"/>
        <v>2.8538639999999997</v>
      </c>
      <c r="S90" s="169">
        <f t="shared" si="190"/>
        <v>6.45</v>
      </c>
      <c r="T90" s="416">
        <f t="shared" si="152"/>
        <v>5.7472599915713985E-6</v>
      </c>
    </row>
    <row r="91" spans="2:20" ht="30" customHeight="1" x14ac:dyDescent="0.25">
      <c r="B91" s="162" t="s">
        <v>913</v>
      </c>
      <c r="C91" s="160" t="s">
        <v>841</v>
      </c>
      <c r="D91" s="171" t="s">
        <v>842</v>
      </c>
      <c r="E91" s="163" t="s">
        <v>843</v>
      </c>
      <c r="F91" s="160" t="s">
        <v>22</v>
      </c>
      <c r="G91" s="427">
        <v>29</v>
      </c>
      <c r="H91" s="165">
        <v>4.88</v>
      </c>
      <c r="I91" s="166">
        <v>5.29</v>
      </c>
      <c r="J91" s="167">
        <f t="shared" ref="J91:J101" si="191">TRUNC(SUM(H91:I91),2)</f>
        <v>10.17</v>
      </c>
      <c r="K91" s="168">
        <f t="shared" ref="K91:K101" si="192">+H91*G91</f>
        <v>141.52000000000001</v>
      </c>
      <c r="L91" s="169">
        <f t="shared" ref="L91:L101" si="193">+I91*G91</f>
        <v>153.41</v>
      </c>
      <c r="M91" s="415">
        <f t="shared" ref="M91:M101" si="194">TRUNC(SUM(K91:L91),2)</f>
        <v>294.93</v>
      </c>
      <c r="N91" s="165">
        <f t="shared" ref="N91:N101" si="195">+H91*(1+$T$10)</f>
        <v>5.9516479999999996</v>
      </c>
      <c r="O91" s="166">
        <f t="shared" ref="O91:O101" si="196">+I91*(1+$T$10)</f>
        <v>6.4516840000000002</v>
      </c>
      <c r="P91" s="167">
        <f t="shared" ref="P91:P101" si="197">TRUNC(SUM(N91:O91),2)</f>
        <v>12.4</v>
      </c>
      <c r="Q91" s="168">
        <f t="shared" ref="Q91:Q101" si="198">+N91*G91</f>
        <v>172.597792</v>
      </c>
      <c r="R91" s="169">
        <f t="shared" ref="R91:R101" si="199">+O91*G91</f>
        <v>187.09883600000001</v>
      </c>
      <c r="S91" s="169">
        <f t="shared" ref="S91:S101" si="200">TRUNC(SUM(Q91:R91),2)</f>
        <v>359.69</v>
      </c>
      <c r="T91" s="416">
        <f t="shared" si="152"/>
        <v>3.2050107695632814E-4</v>
      </c>
    </row>
    <row r="92" spans="2:20" ht="30" customHeight="1" x14ac:dyDescent="0.25">
      <c r="B92" s="162" t="s">
        <v>1228</v>
      </c>
      <c r="C92" s="160">
        <v>62571</v>
      </c>
      <c r="D92" s="171" t="s">
        <v>212</v>
      </c>
      <c r="E92" s="163" t="s">
        <v>1238</v>
      </c>
      <c r="F92" s="160" t="s">
        <v>22</v>
      </c>
      <c r="G92" s="427">
        <v>72</v>
      </c>
      <c r="H92" s="165">
        <v>4.4400000000000004</v>
      </c>
      <c r="I92" s="166">
        <v>5.61</v>
      </c>
      <c r="J92" s="167">
        <f t="shared" si="191"/>
        <v>10.050000000000001</v>
      </c>
      <c r="K92" s="168">
        <f t="shared" si="192"/>
        <v>319.68</v>
      </c>
      <c r="L92" s="169">
        <f t="shared" si="193"/>
        <v>403.92</v>
      </c>
      <c r="M92" s="415">
        <f t="shared" si="194"/>
        <v>723.6</v>
      </c>
      <c r="N92" s="165">
        <f t="shared" si="195"/>
        <v>5.4150240000000007</v>
      </c>
      <c r="O92" s="166">
        <f t="shared" si="196"/>
        <v>6.8419560000000006</v>
      </c>
      <c r="P92" s="167">
        <f t="shared" si="197"/>
        <v>12.25</v>
      </c>
      <c r="Q92" s="168">
        <f t="shared" si="198"/>
        <v>389.88172800000007</v>
      </c>
      <c r="R92" s="169">
        <f t="shared" si="199"/>
        <v>492.62083200000006</v>
      </c>
      <c r="S92" s="169">
        <f t="shared" si="200"/>
        <v>882.5</v>
      </c>
      <c r="T92" s="416">
        <f t="shared" si="152"/>
        <v>7.8634991357546657E-4</v>
      </c>
    </row>
    <row r="93" spans="2:20" ht="30" customHeight="1" x14ac:dyDescent="0.25">
      <c r="B93" s="162" t="s">
        <v>1229</v>
      </c>
      <c r="C93" s="160" t="s">
        <v>1239</v>
      </c>
      <c r="D93" s="171" t="s">
        <v>124</v>
      </c>
      <c r="E93" s="163" t="s">
        <v>1240</v>
      </c>
      <c r="F93" s="160" t="s">
        <v>22</v>
      </c>
      <c r="G93" s="427">
        <v>5</v>
      </c>
      <c r="H93" s="165">
        <v>15.09</v>
      </c>
      <c r="I93" s="166">
        <v>24.75</v>
      </c>
      <c r="J93" s="167">
        <f t="shared" si="191"/>
        <v>39.840000000000003</v>
      </c>
      <c r="K93" s="168">
        <f t="shared" si="192"/>
        <v>75.45</v>
      </c>
      <c r="L93" s="169">
        <f t="shared" si="193"/>
        <v>123.75</v>
      </c>
      <c r="M93" s="415">
        <f t="shared" si="194"/>
        <v>199.2</v>
      </c>
      <c r="N93" s="165">
        <f t="shared" si="195"/>
        <v>18.403763999999999</v>
      </c>
      <c r="O93" s="166">
        <f t="shared" si="196"/>
        <v>30.185100000000002</v>
      </c>
      <c r="P93" s="167">
        <f t="shared" si="197"/>
        <v>48.58</v>
      </c>
      <c r="Q93" s="168">
        <f t="shared" si="198"/>
        <v>92.018819999999991</v>
      </c>
      <c r="R93" s="169">
        <f t="shared" si="199"/>
        <v>150.9255</v>
      </c>
      <c r="S93" s="169">
        <f t="shared" si="200"/>
        <v>242.94</v>
      </c>
      <c r="T93" s="416">
        <f t="shared" si="152"/>
        <v>2.1647121586858227E-4</v>
      </c>
    </row>
    <row r="94" spans="2:20" ht="30" customHeight="1" x14ac:dyDescent="0.25">
      <c r="B94" s="162" t="s">
        <v>1230</v>
      </c>
      <c r="C94" s="160" t="s">
        <v>1241</v>
      </c>
      <c r="D94" s="171" t="s">
        <v>124</v>
      </c>
      <c r="E94" s="163" t="s">
        <v>1242</v>
      </c>
      <c r="F94" s="160" t="s">
        <v>22</v>
      </c>
      <c r="G94" s="427">
        <v>2</v>
      </c>
      <c r="H94" s="165">
        <v>15.09</v>
      </c>
      <c r="I94" s="166">
        <v>20.170000000000002</v>
      </c>
      <c r="J94" s="167">
        <f t="shared" si="191"/>
        <v>35.26</v>
      </c>
      <c r="K94" s="168">
        <f t="shared" si="192"/>
        <v>30.18</v>
      </c>
      <c r="L94" s="169">
        <f t="shared" si="193"/>
        <v>40.340000000000003</v>
      </c>
      <c r="M94" s="415">
        <f t="shared" si="194"/>
        <v>70.52</v>
      </c>
      <c r="N94" s="165">
        <f t="shared" si="195"/>
        <v>18.403763999999999</v>
      </c>
      <c r="O94" s="166">
        <f t="shared" si="196"/>
        <v>24.599332000000004</v>
      </c>
      <c r="P94" s="167">
        <f t="shared" si="197"/>
        <v>43</v>
      </c>
      <c r="Q94" s="168">
        <f t="shared" si="198"/>
        <v>36.807527999999998</v>
      </c>
      <c r="R94" s="169">
        <f t="shared" si="199"/>
        <v>49.198664000000008</v>
      </c>
      <c r="S94" s="169">
        <f t="shared" si="200"/>
        <v>86</v>
      </c>
      <c r="T94" s="416">
        <f t="shared" si="152"/>
        <v>7.6630133220951987E-5</v>
      </c>
    </row>
    <row r="95" spans="2:20" ht="30" customHeight="1" x14ac:dyDescent="0.25">
      <c r="B95" s="162" t="s">
        <v>914</v>
      </c>
      <c r="C95" s="160">
        <v>8688</v>
      </c>
      <c r="D95" s="171" t="s">
        <v>175</v>
      </c>
      <c r="E95" s="163" t="s">
        <v>1244</v>
      </c>
      <c r="F95" s="160" t="s">
        <v>225</v>
      </c>
      <c r="G95" s="427">
        <v>2</v>
      </c>
      <c r="H95" s="165">
        <v>5.6</v>
      </c>
      <c r="I95" s="166">
        <v>24.97</v>
      </c>
      <c r="J95" s="167">
        <f t="shared" si="191"/>
        <v>30.57</v>
      </c>
      <c r="K95" s="168">
        <f t="shared" si="192"/>
        <v>11.2</v>
      </c>
      <c r="L95" s="169">
        <f t="shared" si="193"/>
        <v>49.94</v>
      </c>
      <c r="M95" s="415">
        <f t="shared" si="194"/>
        <v>61.14</v>
      </c>
      <c r="N95" s="165">
        <f t="shared" si="195"/>
        <v>6.8297599999999994</v>
      </c>
      <c r="O95" s="166">
        <f t="shared" si="196"/>
        <v>30.453412</v>
      </c>
      <c r="P95" s="167">
        <f t="shared" si="197"/>
        <v>37.28</v>
      </c>
      <c r="Q95" s="168">
        <f t="shared" si="198"/>
        <v>13.659519999999999</v>
      </c>
      <c r="R95" s="169">
        <f t="shared" si="199"/>
        <v>60.906824</v>
      </c>
      <c r="S95" s="169">
        <f t="shared" si="200"/>
        <v>74.56</v>
      </c>
      <c r="T95" s="416">
        <f t="shared" si="152"/>
        <v>6.6436543406443946E-5</v>
      </c>
    </row>
    <row r="96" spans="2:20" ht="30" customHeight="1" x14ac:dyDescent="0.25">
      <c r="B96" s="162" t="s">
        <v>1231</v>
      </c>
      <c r="C96" s="160" t="s">
        <v>1245</v>
      </c>
      <c r="D96" s="171" t="s">
        <v>124</v>
      </c>
      <c r="E96" s="163" t="s">
        <v>1246</v>
      </c>
      <c r="F96" s="160" t="s">
        <v>22</v>
      </c>
      <c r="G96" s="427">
        <v>4</v>
      </c>
      <c r="H96" s="165">
        <v>15.23</v>
      </c>
      <c r="I96" s="166">
        <v>81.96</v>
      </c>
      <c r="J96" s="167">
        <f t="shared" si="191"/>
        <v>97.19</v>
      </c>
      <c r="K96" s="168">
        <f t="shared" si="192"/>
        <v>60.92</v>
      </c>
      <c r="L96" s="169">
        <f t="shared" si="193"/>
        <v>327.84</v>
      </c>
      <c r="M96" s="415">
        <f t="shared" si="194"/>
        <v>388.76</v>
      </c>
      <c r="N96" s="165">
        <f t="shared" si="195"/>
        <v>18.574508000000002</v>
      </c>
      <c r="O96" s="166">
        <f t="shared" si="196"/>
        <v>99.958416</v>
      </c>
      <c r="P96" s="167">
        <f t="shared" si="197"/>
        <v>118.53</v>
      </c>
      <c r="Q96" s="168">
        <f t="shared" si="198"/>
        <v>74.298032000000006</v>
      </c>
      <c r="R96" s="169">
        <f t="shared" si="199"/>
        <v>399.833664</v>
      </c>
      <c r="S96" s="169">
        <f t="shared" si="200"/>
        <v>474.13</v>
      </c>
      <c r="T96" s="416">
        <f t="shared" si="152"/>
        <v>4.2247261702383677E-4</v>
      </c>
    </row>
    <row r="97" spans="2:20" ht="30" customHeight="1" x14ac:dyDescent="0.25">
      <c r="B97" s="162" t="s">
        <v>1232</v>
      </c>
      <c r="C97" s="160">
        <v>62576</v>
      </c>
      <c r="D97" s="171" t="s">
        <v>212</v>
      </c>
      <c r="E97" s="163" t="s">
        <v>1248</v>
      </c>
      <c r="F97" s="160" t="s">
        <v>22</v>
      </c>
      <c r="G97" s="427">
        <v>1</v>
      </c>
      <c r="H97" s="165">
        <v>15.55</v>
      </c>
      <c r="I97" s="166">
        <v>37.56</v>
      </c>
      <c r="J97" s="167">
        <f t="shared" si="191"/>
        <v>53.11</v>
      </c>
      <c r="K97" s="168">
        <f t="shared" si="192"/>
        <v>15.55</v>
      </c>
      <c r="L97" s="169">
        <f t="shared" si="193"/>
        <v>37.56</v>
      </c>
      <c r="M97" s="415">
        <f t="shared" si="194"/>
        <v>53.11</v>
      </c>
      <c r="N97" s="165">
        <f t="shared" si="195"/>
        <v>18.964780000000001</v>
      </c>
      <c r="O97" s="166">
        <f t="shared" si="196"/>
        <v>45.808176000000003</v>
      </c>
      <c r="P97" s="167">
        <f t="shared" si="197"/>
        <v>64.77</v>
      </c>
      <c r="Q97" s="168">
        <f t="shared" si="198"/>
        <v>18.964780000000001</v>
      </c>
      <c r="R97" s="169">
        <f t="shared" si="199"/>
        <v>45.808176000000003</v>
      </c>
      <c r="S97" s="169">
        <f t="shared" si="200"/>
        <v>64.77</v>
      </c>
      <c r="T97" s="416">
        <f t="shared" si="152"/>
        <v>5.7713182892105345E-5</v>
      </c>
    </row>
    <row r="98" spans="2:20" ht="30" customHeight="1" x14ac:dyDescent="0.25">
      <c r="B98" s="162" t="s">
        <v>1233</v>
      </c>
      <c r="C98" s="160">
        <v>12616</v>
      </c>
      <c r="D98" s="171" t="s">
        <v>175</v>
      </c>
      <c r="E98" s="163" t="s">
        <v>1250</v>
      </c>
      <c r="F98" s="160" t="s">
        <v>225</v>
      </c>
      <c r="G98" s="427">
        <v>6</v>
      </c>
      <c r="H98" s="165">
        <v>5.6</v>
      </c>
      <c r="I98" s="166">
        <v>11.42</v>
      </c>
      <c r="J98" s="167">
        <f t="shared" si="191"/>
        <v>17.02</v>
      </c>
      <c r="K98" s="168">
        <f t="shared" si="192"/>
        <v>33.599999999999994</v>
      </c>
      <c r="L98" s="169">
        <f t="shared" si="193"/>
        <v>68.52</v>
      </c>
      <c r="M98" s="415">
        <f t="shared" si="194"/>
        <v>102.12</v>
      </c>
      <c r="N98" s="165">
        <f t="shared" si="195"/>
        <v>6.8297599999999994</v>
      </c>
      <c r="O98" s="166">
        <f t="shared" si="196"/>
        <v>13.927832</v>
      </c>
      <c r="P98" s="167">
        <f t="shared" si="197"/>
        <v>20.75</v>
      </c>
      <c r="Q98" s="168">
        <f t="shared" si="198"/>
        <v>40.978559999999995</v>
      </c>
      <c r="R98" s="169">
        <f t="shared" si="199"/>
        <v>83.566991999999999</v>
      </c>
      <c r="S98" s="169">
        <f t="shared" si="200"/>
        <v>124.54</v>
      </c>
      <c r="T98" s="416">
        <f t="shared" si="152"/>
        <v>1.1097112548066697E-4</v>
      </c>
    </row>
    <row r="99" spans="2:20" ht="30" customHeight="1" x14ac:dyDescent="0.25">
      <c r="B99" s="162" t="s">
        <v>1362</v>
      </c>
      <c r="C99" s="160" t="s">
        <v>1208</v>
      </c>
      <c r="D99" s="171" t="s">
        <v>264</v>
      </c>
      <c r="E99" s="163" t="s">
        <v>1209</v>
      </c>
      <c r="F99" s="160" t="s">
        <v>35</v>
      </c>
      <c r="G99" s="427">
        <v>245.2</v>
      </c>
      <c r="H99" s="165">
        <v>2.09</v>
      </c>
      <c r="I99" s="166">
        <v>50.58</v>
      </c>
      <c r="J99" s="167">
        <f t="shared" si="191"/>
        <v>52.67</v>
      </c>
      <c r="K99" s="168">
        <f t="shared" si="192"/>
        <v>512.46799999999996</v>
      </c>
      <c r="L99" s="169">
        <f t="shared" si="193"/>
        <v>12402.215999999999</v>
      </c>
      <c r="M99" s="415">
        <f t="shared" si="194"/>
        <v>12914.68</v>
      </c>
      <c r="N99" s="165">
        <f t="shared" si="195"/>
        <v>2.5489639999999998</v>
      </c>
      <c r="O99" s="166">
        <f t="shared" si="196"/>
        <v>61.687367999999999</v>
      </c>
      <c r="P99" s="167">
        <f t="shared" si="197"/>
        <v>64.23</v>
      </c>
      <c r="Q99" s="168">
        <f t="shared" si="198"/>
        <v>625.00597279999988</v>
      </c>
      <c r="R99" s="169">
        <f t="shared" si="199"/>
        <v>15125.742633599999</v>
      </c>
      <c r="S99" s="169">
        <f t="shared" si="200"/>
        <v>15750.74</v>
      </c>
      <c r="T99" s="416">
        <f t="shared" si="152"/>
        <v>1.4034666331727641E-2</v>
      </c>
    </row>
    <row r="100" spans="2:20" ht="30" customHeight="1" x14ac:dyDescent="0.25">
      <c r="B100" s="162" t="s">
        <v>1234</v>
      </c>
      <c r="C100" s="160" t="s">
        <v>1210</v>
      </c>
      <c r="D100" s="171" t="s">
        <v>842</v>
      </c>
      <c r="E100" s="163" t="s">
        <v>1211</v>
      </c>
      <c r="F100" s="160" t="s">
        <v>22</v>
      </c>
      <c r="G100" s="427">
        <v>9</v>
      </c>
      <c r="H100" s="165">
        <v>3.76</v>
      </c>
      <c r="I100" s="166">
        <v>5.03</v>
      </c>
      <c r="J100" s="167">
        <f t="shared" si="191"/>
        <v>8.7899999999999991</v>
      </c>
      <c r="K100" s="168">
        <f t="shared" si="192"/>
        <v>33.839999999999996</v>
      </c>
      <c r="L100" s="169">
        <f t="shared" si="193"/>
        <v>45.27</v>
      </c>
      <c r="M100" s="415">
        <f t="shared" si="194"/>
        <v>79.11</v>
      </c>
      <c r="N100" s="165">
        <f t="shared" si="195"/>
        <v>4.5856959999999996</v>
      </c>
      <c r="O100" s="166">
        <f t="shared" si="196"/>
        <v>6.1345880000000008</v>
      </c>
      <c r="P100" s="167">
        <f t="shared" si="197"/>
        <v>10.72</v>
      </c>
      <c r="Q100" s="168">
        <f t="shared" si="198"/>
        <v>41.271263999999995</v>
      </c>
      <c r="R100" s="169">
        <f t="shared" si="199"/>
        <v>55.211292000000007</v>
      </c>
      <c r="S100" s="169">
        <f t="shared" si="200"/>
        <v>96.48</v>
      </c>
      <c r="T100" s="416">
        <f t="shared" si="152"/>
        <v>8.5968316897179627E-5</v>
      </c>
    </row>
    <row r="101" spans="2:20" ht="30" customHeight="1" x14ac:dyDescent="0.25">
      <c r="B101" s="162" t="s">
        <v>1235</v>
      </c>
      <c r="C101" s="160">
        <v>62562</v>
      </c>
      <c r="D101" s="171" t="s">
        <v>212</v>
      </c>
      <c r="E101" s="163" t="s">
        <v>1254</v>
      </c>
      <c r="F101" s="160" t="s">
        <v>22</v>
      </c>
      <c r="G101" s="427">
        <v>2</v>
      </c>
      <c r="H101" s="165">
        <v>11.02</v>
      </c>
      <c r="I101" s="166">
        <v>8.4700000000000006</v>
      </c>
      <c r="J101" s="167">
        <f t="shared" si="191"/>
        <v>19.489999999999998</v>
      </c>
      <c r="K101" s="168">
        <f t="shared" si="192"/>
        <v>22.04</v>
      </c>
      <c r="L101" s="169">
        <f t="shared" si="193"/>
        <v>16.940000000000001</v>
      </c>
      <c r="M101" s="415">
        <f t="shared" si="194"/>
        <v>38.979999999999997</v>
      </c>
      <c r="N101" s="165">
        <f t="shared" si="195"/>
        <v>13.439992</v>
      </c>
      <c r="O101" s="166">
        <f t="shared" si="196"/>
        <v>10.330012000000002</v>
      </c>
      <c r="P101" s="167">
        <f t="shared" si="197"/>
        <v>23.77</v>
      </c>
      <c r="Q101" s="168">
        <f t="shared" si="198"/>
        <v>26.879984</v>
      </c>
      <c r="R101" s="169">
        <f t="shared" si="199"/>
        <v>20.660024000000003</v>
      </c>
      <c r="S101" s="169">
        <f t="shared" si="200"/>
        <v>47.54</v>
      </c>
      <c r="T101" s="416">
        <f t="shared" si="152"/>
        <v>4.2360424806093684E-5</v>
      </c>
    </row>
    <row r="102" spans="2:20" ht="30" customHeight="1" x14ac:dyDescent="0.25">
      <c r="B102" s="162" t="s">
        <v>1236</v>
      </c>
      <c r="C102" s="160" t="s">
        <v>1255</v>
      </c>
      <c r="D102" s="171" t="s">
        <v>264</v>
      </c>
      <c r="E102" s="163" t="s">
        <v>1256</v>
      </c>
      <c r="F102" s="160" t="s">
        <v>35</v>
      </c>
      <c r="G102" s="427">
        <v>0.5</v>
      </c>
      <c r="H102" s="165">
        <v>31.46</v>
      </c>
      <c r="I102" s="166">
        <v>111.04</v>
      </c>
      <c r="J102" s="167">
        <f t="shared" ref="J102:J103" si="201">TRUNC(SUM(H102:I102),2)</f>
        <v>142.5</v>
      </c>
      <c r="K102" s="168">
        <f t="shared" ref="K102:K103" si="202">+H102*G102</f>
        <v>15.73</v>
      </c>
      <c r="L102" s="169">
        <f t="shared" ref="L102:L103" si="203">+I102*G102</f>
        <v>55.52</v>
      </c>
      <c r="M102" s="415">
        <f t="shared" ref="M102:M103" si="204">TRUNC(SUM(K102:L102),2)</f>
        <v>71.25</v>
      </c>
      <c r="N102" s="165">
        <f t="shared" ref="N102:N103" si="205">+H102*(1+$T$10)</f>
        <v>38.368616000000003</v>
      </c>
      <c r="O102" s="166">
        <f t="shared" ref="O102:O103" si="206">+I102*(1+$T$10)</f>
        <v>135.424384</v>
      </c>
      <c r="P102" s="167">
        <f t="shared" ref="P102:P103" si="207">TRUNC(SUM(N102:O102),2)</f>
        <v>173.79</v>
      </c>
      <c r="Q102" s="168">
        <f t="shared" ref="Q102:Q103" si="208">+N102*G102</f>
        <v>19.184308000000001</v>
      </c>
      <c r="R102" s="169">
        <f t="shared" ref="R102:R103" si="209">+O102*G102</f>
        <v>67.712192000000002</v>
      </c>
      <c r="S102" s="169">
        <f t="shared" ref="S102:S103" si="210">TRUNC(SUM(Q102:R102),2)</f>
        <v>86.89</v>
      </c>
      <c r="T102" s="416">
        <f t="shared" si="152"/>
        <v>7.7423165994982768E-5</v>
      </c>
    </row>
    <row r="103" spans="2:20" ht="30" customHeight="1" x14ac:dyDescent="0.25">
      <c r="B103" s="162"/>
      <c r="C103" s="160"/>
      <c r="D103" s="171"/>
      <c r="E103" s="163"/>
      <c r="F103" s="160"/>
      <c r="G103" s="164"/>
      <c r="H103" s="165"/>
      <c r="I103" s="166"/>
      <c r="J103" s="167">
        <f t="shared" si="201"/>
        <v>0</v>
      </c>
      <c r="K103" s="168">
        <f t="shared" si="202"/>
        <v>0</v>
      </c>
      <c r="L103" s="169">
        <f t="shared" si="203"/>
        <v>0</v>
      </c>
      <c r="M103" s="170">
        <f t="shared" si="204"/>
        <v>0</v>
      </c>
      <c r="N103" s="165">
        <f t="shared" si="205"/>
        <v>0</v>
      </c>
      <c r="O103" s="166">
        <f t="shared" si="206"/>
        <v>0</v>
      </c>
      <c r="P103" s="167">
        <f t="shared" si="207"/>
        <v>0</v>
      </c>
      <c r="Q103" s="168">
        <f t="shared" si="208"/>
        <v>0</v>
      </c>
      <c r="R103" s="169">
        <f t="shared" si="209"/>
        <v>0</v>
      </c>
      <c r="S103" s="169">
        <f t="shared" si="210"/>
        <v>0</v>
      </c>
      <c r="T103" s="161">
        <f t="shared" si="152"/>
        <v>0</v>
      </c>
    </row>
    <row r="104" spans="2:20" ht="24.95" customHeight="1" x14ac:dyDescent="0.25">
      <c r="B104" s="326">
        <v>10</v>
      </c>
      <c r="C104" s="327"/>
      <c r="D104" s="327"/>
      <c r="E104" s="328" t="s">
        <v>924</v>
      </c>
      <c r="F104" s="329"/>
      <c r="G104" s="330"/>
      <c r="H104" s="331"/>
      <c r="I104" s="329"/>
      <c r="J104" s="332"/>
      <c r="K104" s="337">
        <f>SUM(K105:K114)</f>
        <v>22598.756000000001</v>
      </c>
      <c r="L104" s="337">
        <f t="shared" ref="L104:M104" si="211">SUM(L105:L114)</f>
        <v>74689.05</v>
      </c>
      <c r="M104" s="337">
        <f t="shared" si="211"/>
        <v>97287.78</v>
      </c>
      <c r="N104" s="331">
        <f t="shared" si="118"/>
        <v>0</v>
      </c>
      <c r="O104" s="329">
        <f t="shared" si="119"/>
        <v>0</v>
      </c>
      <c r="P104" s="332"/>
      <c r="Q104" s="337">
        <f>SUM(Q105:Q114)</f>
        <v>27561.4428176</v>
      </c>
      <c r="R104" s="337">
        <f t="shared" ref="R104" si="212">SUM(R105:R114)</f>
        <v>91090.765379999983</v>
      </c>
      <c r="S104" s="337">
        <f t="shared" ref="S104" si="213">SUM(S105:S114)</f>
        <v>118652.15999999999</v>
      </c>
      <c r="T104" s="333">
        <f t="shared" si="152"/>
        <v>0.10572477706690359</v>
      </c>
    </row>
    <row r="105" spans="2:20" ht="39.950000000000003" customHeight="1" x14ac:dyDescent="0.25">
      <c r="B105" s="162" t="s">
        <v>925</v>
      </c>
      <c r="C105" s="160">
        <v>91864</v>
      </c>
      <c r="D105" s="171" t="s">
        <v>31</v>
      </c>
      <c r="E105" s="163" t="s">
        <v>1363</v>
      </c>
      <c r="F105" s="160" t="s">
        <v>35</v>
      </c>
      <c r="G105" s="164">
        <v>37.5</v>
      </c>
      <c r="H105" s="165">
        <v>4.3899999999999997</v>
      </c>
      <c r="I105" s="166">
        <v>8.82</v>
      </c>
      <c r="J105" s="167">
        <f t="shared" ref="J105:J116" si="214">TRUNC(SUM(H105:I105),2)</f>
        <v>13.21</v>
      </c>
      <c r="K105" s="168">
        <f>+H105*G105</f>
        <v>164.625</v>
      </c>
      <c r="L105" s="169">
        <f>+I105*G105</f>
        <v>330.75</v>
      </c>
      <c r="M105" s="170">
        <f t="shared" ref="M105" si="215">TRUNC(SUM(K105:L105),2)</f>
        <v>495.37</v>
      </c>
      <c r="N105" s="165">
        <f t="shared" si="118"/>
        <v>5.354044</v>
      </c>
      <c r="O105" s="166">
        <f t="shared" si="119"/>
        <v>10.756872000000001</v>
      </c>
      <c r="P105" s="167">
        <f t="shared" ref="P105:P116" si="216">TRUNC(SUM(N105:O105),2)</f>
        <v>16.11</v>
      </c>
      <c r="Q105" s="168">
        <f t="shared" ref="Q105" si="217">+N105*G105</f>
        <v>200.77664999999999</v>
      </c>
      <c r="R105" s="169">
        <f t="shared" ref="R105" si="218">+O105*G105</f>
        <v>403.38270000000006</v>
      </c>
      <c r="S105" s="169">
        <f t="shared" ref="S105" si="219">TRUNC(SUM(Q105:R105),2)</f>
        <v>604.15</v>
      </c>
      <c r="T105" s="161">
        <f t="shared" si="152"/>
        <v>5.3832668587718761E-4</v>
      </c>
    </row>
    <row r="106" spans="2:20" ht="36" customHeight="1" x14ac:dyDescent="0.25">
      <c r="B106" s="162" t="s">
        <v>926</v>
      </c>
      <c r="C106" s="160">
        <v>91863</v>
      </c>
      <c r="D106" s="171" t="s">
        <v>31</v>
      </c>
      <c r="E106" s="163" t="s">
        <v>1364</v>
      </c>
      <c r="F106" s="160" t="s">
        <v>35</v>
      </c>
      <c r="G106" s="164">
        <v>2217</v>
      </c>
      <c r="H106" s="165">
        <v>3.68</v>
      </c>
      <c r="I106" s="166">
        <v>6.27</v>
      </c>
      <c r="J106" s="167">
        <f t="shared" ref="J106:J112" si="220">TRUNC(SUM(H106:I106),2)</f>
        <v>9.9499999999999993</v>
      </c>
      <c r="K106" s="168">
        <f t="shared" ref="K106:K112" si="221">+H106*G106</f>
        <v>8158.56</v>
      </c>
      <c r="L106" s="169">
        <f t="shared" ref="L106:L112" si="222">+I106*G106</f>
        <v>13900.589999999998</v>
      </c>
      <c r="M106" s="170">
        <f t="shared" ref="M106:M112" si="223">TRUNC(SUM(K106:L106),2)</f>
        <v>22059.15</v>
      </c>
      <c r="N106" s="165">
        <f t="shared" ref="N106:N112" si="224">+H106*(1+$T$10)</f>
        <v>4.4881280000000006</v>
      </c>
      <c r="O106" s="166">
        <f t="shared" ref="O106:O112" si="225">+I106*(1+$T$10)</f>
        <v>7.6468919999999994</v>
      </c>
      <c r="P106" s="167">
        <f t="shared" ref="P106:P112" si="226">TRUNC(SUM(N106:O106),2)</f>
        <v>12.13</v>
      </c>
      <c r="Q106" s="168">
        <f t="shared" ref="Q106:Q112" si="227">+N106*G106</f>
        <v>9950.1797760000009</v>
      </c>
      <c r="R106" s="169">
        <f t="shared" ref="R106:R112" si="228">+O106*G106</f>
        <v>16953.159563999998</v>
      </c>
      <c r="S106" s="169">
        <f t="shared" ref="S106:S112" si="229">TRUNC(SUM(Q106:R106),2)</f>
        <v>26903.33</v>
      </c>
      <c r="T106" s="161">
        <f t="shared" si="152"/>
        <v>2.3972160023107373E-2</v>
      </c>
    </row>
    <row r="107" spans="2:20" ht="24.95" customHeight="1" x14ac:dyDescent="0.25">
      <c r="B107" s="162" t="s">
        <v>927</v>
      </c>
      <c r="C107" s="160">
        <v>93008</v>
      </c>
      <c r="D107" s="171" t="s">
        <v>31</v>
      </c>
      <c r="E107" s="163" t="s">
        <v>1365</v>
      </c>
      <c r="F107" s="160" t="s">
        <v>35</v>
      </c>
      <c r="G107" s="164">
        <v>6</v>
      </c>
      <c r="H107" s="165">
        <v>3.32</v>
      </c>
      <c r="I107" s="166">
        <v>11.3</v>
      </c>
      <c r="J107" s="167">
        <f t="shared" si="220"/>
        <v>14.62</v>
      </c>
      <c r="K107" s="168">
        <f t="shared" si="221"/>
        <v>19.919999999999998</v>
      </c>
      <c r="L107" s="169">
        <f t="shared" si="222"/>
        <v>67.800000000000011</v>
      </c>
      <c r="M107" s="170">
        <f t="shared" si="223"/>
        <v>87.72</v>
      </c>
      <c r="N107" s="165">
        <f t="shared" si="224"/>
        <v>4.0490719999999998</v>
      </c>
      <c r="O107" s="166">
        <f t="shared" si="225"/>
        <v>13.781480000000002</v>
      </c>
      <c r="P107" s="167">
        <f t="shared" si="226"/>
        <v>17.829999999999998</v>
      </c>
      <c r="Q107" s="168">
        <f t="shared" si="227"/>
        <v>24.294432</v>
      </c>
      <c r="R107" s="169">
        <f t="shared" si="228"/>
        <v>82.688880000000012</v>
      </c>
      <c r="S107" s="169">
        <f t="shared" si="229"/>
        <v>106.98</v>
      </c>
      <c r="T107" s="161">
        <f t="shared" si="152"/>
        <v>9.5324321534621435E-5</v>
      </c>
    </row>
    <row r="108" spans="2:20" ht="24.95" customHeight="1" x14ac:dyDescent="0.25">
      <c r="B108" s="162" t="s">
        <v>928</v>
      </c>
      <c r="C108" s="160">
        <v>93009</v>
      </c>
      <c r="D108" s="171" t="s">
        <v>31</v>
      </c>
      <c r="E108" s="163" t="s">
        <v>1366</v>
      </c>
      <c r="F108" s="160" t="s">
        <v>35</v>
      </c>
      <c r="G108" s="164">
        <v>14.8</v>
      </c>
      <c r="H108" s="165">
        <v>3.81</v>
      </c>
      <c r="I108" s="166">
        <v>17.850000000000001</v>
      </c>
      <c r="J108" s="167">
        <f t="shared" si="220"/>
        <v>21.66</v>
      </c>
      <c r="K108" s="168">
        <f t="shared" si="221"/>
        <v>56.388000000000005</v>
      </c>
      <c r="L108" s="169">
        <f t="shared" si="222"/>
        <v>264.18</v>
      </c>
      <c r="M108" s="170">
        <f t="shared" si="223"/>
        <v>320.56</v>
      </c>
      <c r="N108" s="165">
        <f t="shared" si="224"/>
        <v>4.6466760000000003</v>
      </c>
      <c r="O108" s="166">
        <f t="shared" si="225"/>
        <v>21.769860000000001</v>
      </c>
      <c r="P108" s="167">
        <f t="shared" si="226"/>
        <v>26.41</v>
      </c>
      <c r="Q108" s="168">
        <f t="shared" si="227"/>
        <v>68.770804800000008</v>
      </c>
      <c r="R108" s="169">
        <f t="shared" si="228"/>
        <v>322.19392800000003</v>
      </c>
      <c r="S108" s="169">
        <f t="shared" si="229"/>
        <v>390.96</v>
      </c>
      <c r="T108" s="161">
        <f t="shared" si="152"/>
        <v>3.4836414981469053E-4</v>
      </c>
    </row>
    <row r="109" spans="2:20" ht="24.95" customHeight="1" x14ac:dyDescent="0.25">
      <c r="B109" s="162" t="s">
        <v>1367</v>
      </c>
      <c r="C109" s="160">
        <v>93012</v>
      </c>
      <c r="D109" s="171" t="s">
        <v>31</v>
      </c>
      <c r="E109" s="163" t="s">
        <v>940</v>
      </c>
      <c r="F109" s="160" t="s">
        <v>35</v>
      </c>
      <c r="G109" s="164">
        <f>5.9+63.6</f>
        <v>69.5</v>
      </c>
      <c r="H109" s="165">
        <v>6.31</v>
      </c>
      <c r="I109" s="166">
        <v>49.64</v>
      </c>
      <c r="J109" s="167">
        <f t="shared" si="220"/>
        <v>55.95</v>
      </c>
      <c r="K109" s="168">
        <f t="shared" si="221"/>
        <v>438.54499999999996</v>
      </c>
      <c r="L109" s="169">
        <f t="shared" si="222"/>
        <v>3449.98</v>
      </c>
      <c r="M109" s="170">
        <f t="shared" si="223"/>
        <v>3888.52</v>
      </c>
      <c r="N109" s="165">
        <f t="shared" si="224"/>
        <v>7.6956759999999997</v>
      </c>
      <c r="O109" s="166">
        <f t="shared" si="225"/>
        <v>60.540944000000003</v>
      </c>
      <c r="P109" s="167">
        <f t="shared" si="226"/>
        <v>68.23</v>
      </c>
      <c r="Q109" s="168">
        <f t="shared" si="227"/>
        <v>534.84948199999997</v>
      </c>
      <c r="R109" s="169">
        <f t="shared" si="228"/>
        <v>4207.5956080000005</v>
      </c>
      <c r="S109" s="169">
        <f t="shared" si="229"/>
        <v>4742.4399999999996</v>
      </c>
      <c r="T109" s="161">
        <f t="shared" si="152"/>
        <v>4.2257419650275751E-3</v>
      </c>
    </row>
    <row r="110" spans="2:20" ht="24.95" customHeight="1" x14ac:dyDescent="0.25">
      <c r="B110" s="162" t="s">
        <v>929</v>
      </c>
      <c r="C110" s="160">
        <v>11819</v>
      </c>
      <c r="D110" s="171" t="s">
        <v>175</v>
      </c>
      <c r="E110" s="163" t="s">
        <v>942</v>
      </c>
      <c r="F110" s="160" t="s">
        <v>225</v>
      </c>
      <c r="G110" s="164">
        <v>1</v>
      </c>
      <c r="H110" s="165">
        <v>2.79</v>
      </c>
      <c r="I110" s="166">
        <f>6.44-H110</f>
        <v>3.6500000000000004</v>
      </c>
      <c r="J110" s="167">
        <f t="shared" si="220"/>
        <v>6.44</v>
      </c>
      <c r="K110" s="168">
        <f t="shared" si="221"/>
        <v>2.79</v>
      </c>
      <c r="L110" s="169">
        <f t="shared" si="222"/>
        <v>3.6500000000000004</v>
      </c>
      <c r="M110" s="170">
        <f t="shared" si="223"/>
        <v>6.44</v>
      </c>
      <c r="N110" s="165">
        <f t="shared" si="224"/>
        <v>3.4026840000000003</v>
      </c>
      <c r="O110" s="166">
        <f t="shared" si="225"/>
        <v>4.4515400000000005</v>
      </c>
      <c r="P110" s="167">
        <f t="shared" si="226"/>
        <v>7.85</v>
      </c>
      <c r="Q110" s="168">
        <f t="shared" si="227"/>
        <v>3.4026840000000003</v>
      </c>
      <c r="R110" s="169">
        <f t="shared" si="228"/>
        <v>4.4515400000000005</v>
      </c>
      <c r="S110" s="169">
        <f t="shared" si="229"/>
        <v>7.85</v>
      </c>
      <c r="T110" s="161">
        <f t="shared" si="152"/>
        <v>6.9947272765636398E-6</v>
      </c>
    </row>
    <row r="111" spans="2:20" ht="24.95" customHeight="1" x14ac:dyDescent="0.25">
      <c r="B111" s="162" t="s">
        <v>930</v>
      </c>
      <c r="C111" s="160">
        <v>68207</v>
      </c>
      <c r="D111" s="171" t="s">
        <v>212</v>
      </c>
      <c r="E111" s="163" t="s">
        <v>736</v>
      </c>
      <c r="F111" s="160" t="s">
        <v>35</v>
      </c>
      <c r="G111" s="164">
        <v>0.3</v>
      </c>
      <c r="H111" s="165">
        <v>18.260000000000002</v>
      </c>
      <c r="I111" s="166">
        <f>109.76-H111</f>
        <v>91.5</v>
      </c>
      <c r="J111" s="167">
        <f t="shared" si="220"/>
        <v>109.76</v>
      </c>
      <c r="K111" s="168">
        <f t="shared" si="221"/>
        <v>5.4780000000000006</v>
      </c>
      <c r="L111" s="169">
        <f t="shared" si="222"/>
        <v>27.45</v>
      </c>
      <c r="M111" s="170">
        <f t="shared" si="223"/>
        <v>32.92</v>
      </c>
      <c r="N111" s="165">
        <f t="shared" si="224"/>
        <v>22.269896000000003</v>
      </c>
      <c r="O111" s="166">
        <f t="shared" si="225"/>
        <v>111.5934</v>
      </c>
      <c r="P111" s="167">
        <f t="shared" si="226"/>
        <v>133.86000000000001</v>
      </c>
      <c r="Q111" s="168">
        <f t="shared" si="227"/>
        <v>6.6809688000000005</v>
      </c>
      <c r="R111" s="169">
        <f t="shared" si="228"/>
        <v>33.478020000000001</v>
      </c>
      <c r="S111" s="169">
        <f t="shared" si="229"/>
        <v>40.15</v>
      </c>
      <c r="T111" s="161">
        <f t="shared" si="152"/>
        <v>3.577557963745607E-5</v>
      </c>
    </row>
    <row r="112" spans="2:20" ht="24.95" customHeight="1" x14ac:dyDescent="0.25">
      <c r="B112" s="162" t="s">
        <v>931</v>
      </c>
      <c r="C112" s="160">
        <v>60140</v>
      </c>
      <c r="D112" s="171" t="s">
        <v>212</v>
      </c>
      <c r="E112" s="163" t="s">
        <v>1353</v>
      </c>
      <c r="F112" s="160" t="s">
        <v>22</v>
      </c>
      <c r="G112" s="164">
        <v>135</v>
      </c>
      <c r="H112" s="165">
        <v>1.27</v>
      </c>
      <c r="I112" s="166">
        <v>38.47</v>
      </c>
      <c r="J112" s="167">
        <f t="shared" si="220"/>
        <v>39.74</v>
      </c>
      <c r="K112" s="168">
        <f t="shared" si="221"/>
        <v>171.45</v>
      </c>
      <c r="L112" s="169">
        <f t="shared" si="222"/>
        <v>5193.45</v>
      </c>
      <c r="M112" s="170">
        <f t="shared" si="223"/>
        <v>5364.9</v>
      </c>
      <c r="N112" s="165">
        <f t="shared" si="224"/>
        <v>1.5488919999999999</v>
      </c>
      <c r="O112" s="166">
        <f t="shared" si="225"/>
        <v>46.918011999999997</v>
      </c>
      <c r="P112" s="167">
        <f t="shared" si="226"/>
        <v>48.46</v>
      </c>
      <c r="Q112" s="168">
        <f t="shared" si="227"/>
        <v>209.10041999999999</v>
      </c>
      <c r="R112" s="169">
        <f t="shared" si="228"/>
        <v>6333.9316199999994</v>
      </c>
      <c r="S112" s="169">
        <f t="shared" si="229"/>
        <v>6543.03</v>
      </c>
      <c r="T112" s="161">
        <f t="shared" si="152"/>
        <v>5.8301541926591332E-3</v>
      </c>
    </row>
    <row r="113" spans="2:20" ht="24.95" customHeight="1" x14ac:dyDescent="0.25">
      <c r="B113" s="162" t="s">
        <v>932</v>
      </c>
      <c r="C113" s="160">
        <v>90953</v>
      </c>
      <c r="D113" s="171" t="s">
        <v>1340</v>
      </c>
      <c r="E113" s="163" t="s">
        <v>1368</v>
      </c>
      <c r="F113" s="160" t="s">
        <v>22</v>
      </c>
      <c r="G113" s="164">
        <v>150</v>
      </c>
      <c r="H113" s="165">
        <v>64.8</v>
      </c>
      <c r="I113" s="166">
        <v>219.69</v>
      </c>
      <c r="J113" s="167">
        <f t="shared" ref="J113" si="230">TRUNC(SUM(H113:I113),2)</f>
        <v>284.49</v>
      </c>
      <c r="K113" s="168">
        <f t="shared" ref="K113" si="231">+H113*G113</f>
        <v>9720</v>
      </c>
      <c r="L113" s="169">
        <f t="shared" ref="L113" si="232">+I113*G113</f>
        <v>32953.5</v>
      </c>
      <c r="M113" s="170">
        <f t="shared" ref="M113" si="233">TRUNC(SUM(K113:L113),2)</f>
        <v>42673.5</v>
      </c>
      <c r="N113" s="165">
        <f t="shared" ref="N113" si="234">+H113*(1+$T$10)</f>
        <v>79.030079999999998</v>
      </c>
      <c r="O113" s="166">
        <f t="shared" ref="O113" si="235">+I113*(1+$T$10)</f>
        <v>267.93392399999999</v>
      </c>
      <c r="P113" s="167">
        <f t="shared" ref="P113" si="236">TRUNC(SUM(N113:O113),2)</f>
        <v>346.96</v>
      </c>
      <c r="Q113" s="168">
        <f t="shared" ref="Q113" si="237">+N113*G113</f>
        <v>11854.511999999999</v>
      </c>
      <c r="R113" s="169">
        <f t="shared" ref="R113" si="238">+O113*G113</f>
        <v>40190.088599999995</v>
      </c>
      <c r="S113" s="169">
        <f t="shared" ref="S113" si="239">TRUNC(SUM(Q113:R113),2)</f>
        <v>52044.6</v>
      </c>
      <c r="T113" s="161">
        <f t="shared" si="152"/>
        <v>4.6374239900362296E-2</v>
      </c>
    </row>
    <row r="114" spans="2:20" ht="24.95" customHeight="1" x14ac:dyDescent="0.25">
      <c r="B114" s="162" t="s">
        <v>933</v>
      </c>
      <c r="C114" s="160">
        <v>100903</v>
      </c>
      <c r="D114" s="171" t="s">
        <v>31</v>
      </c>
      <c r="E114" s="163" t="s">
        <v>1369</v>
      </c>
      <c r="F114" s="160" t="s">
        <v>22</v>
      </c>
      <c r="G114" s="427">
        <v>702</v>
      </c>
      <c r="H114" s="165">
        <v>5.5</v>
      </c>
      <c r="I114" s="166">
        <v>26.35</v>
      </c>
      <c r="J114" s="167">
        <f t="shared" ref="J114" si="240">TRUNC(SUM(H114:I114),2)</f>
        <v>31.85</v>
      </c>
      <c r="K114" s="168">
        <f t="shared" ref="K114" si="241">+H114*G114</f>
        <v>3861</v>
      </c>
      <c r="L114" s="169">
        <f t="shared" ref="L114" si="242">+I114*G114</f>
        <v>18497.7</v>
      </c>
      <c r="M114" s="170">
        <f t="shared" ref="M114" si="243">TRUNC(SUM(K114:L114),2)</f>
        <v>22358.7</v>
      </c>
      <c r="N114" s="165">
        <f t="shared" ref="N114" si="244">+H114*(1+$T$10)</f>
        <v>6.7077999999999998</v>
      </c>
      <c r="O114" s="166">
        <f t="shared" ref="O114" si="245">+I114*(1+$T$10)</f>
        <v>32.13646</v>
      </c>
      <c r="P114" s="167">
        <f t="shared" ref="P114" si="246">TRUNC(SUM(N114:O114),2)</f>
        <v>38.840000000000003</v>
      </c>
      <c r="Q114" s="168">
        <f t="shared" ref="Q114" si="247">+N114*G114</f>
        <v>4708.8755999999994</v>
      </c>
      <c r="R114" s="169">
        <f t="shared" ref="R114" si="248">+O114*G114</f>
        <v>22559.79492</v>
      </c>
      <c r="S114" s="169">
        <f t="shared" ref="S114" si="249">TRUNC(SUM(Q114:R114),2)</f>
        <v>27268.67</v>
      </c>
      <c r="T114" s="161">
        <f t="shared" si="152"/>
        <v>2.4297695521606703E-2</v>
      </c>
    </row>
    <row r="115" spans="2:20" ht="24.95" customHeight="1" x14ac:dyDescent="0.25">
      <c r="B115" s="162"/>
      <c r="C115" s="160"/>
      <c r="D115" s="171"/>
      <c r="E115" s="163"/>
      <c r="F115" s="160"/>
      <c r="G115" s="164"/>
      <c r="H115" s="165"/>
      <c r="I115" s="166"/>
      <c r="J115" s="167"/>
      <c r="K115" s="168"/>
      <c r="L115" s="169"/>
      <c r="M115" s="170"/>
      <c r="N115" s="165"/>
      <c r="O115" s="166"/>
      <c r="P115" s="167"/>
      <c r="Q115" s="168"/>
      <c r="R115" s="169"/>
      <c r="S115" s="169"/>
      <c r="T115" s="161"/>
    </row>
    <row r="116" spans="2:20" ht="24.95" customHeight="1" x14ac:dyDescent="0.25">
      <c r="B116" s="326">
        <v>11</v>
      </c>
      <c r="C116" s="356"/>
      <c r="D116" s="356"/>
      <c r="E116" s="328" t="s">
        <v>949</v>
      </c>
      <c r="F116" s="339"/>
      <c r="G116" s="357"/>
      <c r="H116" s="338"/>
      <c r="I116" s="339"/>
      <c r="J116" s="340">
        <f t="shared" si="214"/>
        <v>0</v>
      </c>
      <c r="K116" s="337">
        <f>SUM(K117:K118)</f>
        <v>404.04</v>
      </c>
      <c r="L116" s="337">
        <f>SUM(L117:L118)</f>
        <v>20916.37</v>
      </c>
      <c r="M116" s="337">
        <f>SUM(M117:M118)</f>
        <v>21320.410000000003</v>
      </c>
      <c r="N116" s="358">
        <f t="shared" si="118"/>
        <v>0</v>
      </c>
      <c r="O116" s="359">
        <f t="shared" si="119"/>
        <v>0</v>
      </c>
      <c r="P116" s="360">
        <f t="shared" si="216"/>
        <v>0</v>
      </c>
      <c r="Q116" s="337">
        <f>SUM(Q117:Q118)</f>
        <v>492.76718400000004</v>
      </c>
      <c r="R116" s="337">
        <f>SUM(R117:R118)</f>
        <v>25509.604852</v>
      </c>
      <c r="S116" s="337">
        <f>SUM(S117:S118)</f>
        <v>26002.36</v>
      </c>
      <c r="T116" s="333">
        <f>+S116/$S$201</f>
        <v>2.3169352451850617E-2</v>
      </c>
    </row>
    <row r="117" spans="2:20" ht="51.75" customHeight="1" x14ac:dyDescent="0.25">
      <c r="B117" s="162" t="s">
        <v>947</v>
      </c>
      <c r="C117" s="160">
        <v>101879</v>
      </c>
      <c r="D117" s="171" t="s">
        <v>31</v>
      </c>
      <c r="E117" s="163" t="s">
        <v>951</v>
      </c>
      <c r="F117" s="160" t="s">
        <v>22</v>
      </c>
      <c r="G117" s="164">
        <v>7</v>
      </c>
      <c r="H117" s="165">
        <v>17.760000000000002</v>
      </c>
      <c r="I117" s="166">
        <v>641.92999999999995</v>
      </c>
      <c r="J117" s="167">
        <f>TRUNC(SUM(H117:I117),2)</f>
        <v>659.69</v>
      </c>
      <c r="K117" s="168">
        <f>+H117*G117</f>
        <v>124.32000000000001</v>
      </c>
      <c r="L117" s="169">
        <f>+I117*G117</f>
        <v>4493.5099999999993</v>
      </c>
      <c r="M117" s="170">
        <f t="shared" ref="M117" si="250">TRUNC(SUM(K117:L117),2)</f>
        <v>4617.83</v>
      </c>
      <c r="N117" s="165">
        <f t="shared" si="118"/>
        <v>21.660096000000003</v>
      </c>
      <c r="O117" s="166">
        <f t="shared" si="119"/>
        <v>782.897828</v>
      </c>
      <c r="P117" s="167">
        <f>TRUNC(SUM(N117:O117),2)</f>
        <v>804.55</v>
      </c>
      <c r="Q117" s="168">
        <f>+N117*G117</f>
        <v>151.62067200000001</v>
      </c>
      <c r="R117" s="169">
        <f>+O117*G117</f>
        <v>5480.2847959999999</v>
      </c>
      <c r="S117" s="169">
        <f>TRUNC(SUM(Q117:R117),2)</f>
        <v>5631.9</v>
      </c>
      <c r="T117" s="161">
        <f>+S117/$S$201</f>
        <v>5.0182935731055752E-3</v>
      </c>
    </row>
    <row r="118" spans="2:20" ht="25.5" customHeight="1" x14ac:dyDescent="0.25">
      <c r="B118" s="162" t="s">
        <v>948</v>
      </c>
      <c r="C118" s="160" t="s">
        <v>1348</v>
      </c>
      <c r="D118" s="171" t="s">
        <v>124</v>
      </c>
      <c r="E118" s="163" t="s">
        <v>1311</v>
      </c>
      <c r="F118" s="160" t="s">
        <v>22</v>
      </c>
      <c r="G118" s="164">
        <v>1</v>
      </c>
      <c r="H118" s="165">
        <v>279.72000000000003</v>
      </c>
      <c r="I118" s="166">
        <v>16422.86</v>
      </c>
      <c r="J118" s="167">
        <f>TRUNC(SUM(H118:I118),2)</f>
        <v>16702.580000000002</v>
      </c>
      <c r="K118" s="168">
        <f>+H118*G118</f>
        <v>279.72000000000003</v>
      </c>
      <c r="L118" s="169">
        <f>+I118*G118</f>
        <v>16422.86</v>
      </c>
      <c r="M118" s="170">
        <f t="shared" ref="M118" si="251">TRUNC(SUM(K118:L118),2)</f>
        <v>16702.580000000002</v>
      </c>
      <c r="N118" s="165">
        <f t="shared" si="118"/>
        <v>341.14651200000003</v>
      </c>
      <c r="O118" s="166">
        <f t="shared" si="119"/>
        <v>20029.320056</v>
      </c>
      <c r="P118" s="167">
        <f>TRUNC(SUM(N118:O118),2)</f>
        <v>20370.46</v>
      </c>
      <c r="Q118" s="168">
        <f>+N118*G118</f>
        <v>341.14651200000003</v>
      </c>
      <c r="R118" s="169">
        <f>+O118*G118</f>
        <v>20029.320056</v>
      </c>
      <c r="S118" s="169">
        <f>TRUNC(SUM(Q118:R118),2)</f>
        <v>20370.46</v>
      </c>
      <c r="T118" s="161">
        <f>+S118/$S$201</f>
        <v>1.815105887874504E-2</v>
      </c>
    </row>
    <row r="119" spans="2:20" ht="25.5" customHeight="1" x14ac:dyDescent="0.25">
      <c r="B119" s="162"/>
      <c r="C119" s="160"/>
      <c r="D119" s="171"/>
      <c r="E119" s="163"/>
      <c r="F119" s="160"/>
      <c r="G119" s="164"/>
      <c r="H119" s="165"/>
      <c r="I119" s="166"/>
      <c r="J119" s="167"/>
      <c r="K119" s="168"/>
      <c r="L119" s="169"/>
      <c r="M119" s="170"/>
      <c r="N119" s="165"/>
      <c r="O119" s="166"/>
      <c r="P119" s="167"/>
      <c r="Q119" s="168"/>
      <c r="R119" s="169"/>
      <c r="S119" s="169"/>
      <c r="T119" s="161"/>
    </row>
    <row r="120" spans="2:20" ht="24.95" customHeight="1" x14ac:dyDescent="0.25">
      <c r="B120" s="326">
        <v>12</v>
      </c>
      <c r="C120" s="327"/>
      <c r="D120" s="327"/>
      <c r="E120" s="328" t="s">
        <v>952</v>
      </c>
      <c r="F120" s="329"/>
      <c r="G120" s="330"/>
      <c r="H120" s="331"/>
      <c r="I120" s="329"/>
      <c r="J120" s="332">
        <f t="shared" ref="J120:J131" si="252">TRUNC(SUM(H120:I120),2)</f>
        <v>0</v>
      </c>
      <c r="K120" s="337">
        <f>K121+K123+K127+K131+K141+K145+K151+K156+K169+K182+K193</f>
        <v>64925.911999999997</v>
      </c>
      <c r="L120" s="337">
        <f>L121+L123+L127+L131+L141+L145+L151+L156+L169+L182+L193</f>
        <v>223417.27299999999</v>
      </c>
      <c r="M120" s="337">
        <f>M121+M123+M127+M131+M141+M145+M151+M156+M169+M182+M193</f>
        <v>288343.16000000003</v>
      </c>
      <c r="N120" s="353">
        <f t="shared" si="118"/>
        <v>0</v>
      </c>
      <c r="O120" s="354">
        <f t="shared" si="119"/>
        <v>0</v>
      </c>
      <c r="P120" s="355">
        <f t="shared" ref="P120:P131" si="253">TRUNC(SUM(N120:O120),2)</f>
        <v>0</v>
      </c>
      <c r="Q120" s="337">
        <f>Q121+Q123+Q127+Q131+Q141+Q145+Q151+Q156+Q169+Q182+Q193</f>
        <v>79183.642275200007</v>
      </c>
      <c r="R120" s="337">
        <f>R121+R123+R127+R131+R141+R145+R151+R156+R169+R182+R193</f>
        <v>272479.70615079999</v>
      </c>
      <c r="S120" s="337">
        <f>S121+S123+S127+S131+S141+S145+S151+S156+S169+S182+S193</f>
        <v>351663.08</v>
      </c>
      <c r="T120" s="333">
        <f t="shared" ref="T120:T129" si="254">+S120/$S$201</f>
        <v>0.31334870545686389</v>
      </c>
    </row>
    <row r="121" spans="2:20" ht="24.95" customHeight="1" x14ac:dyDescent="0.25">
      <c r="B121" s="341" t="s">
        <v>954</v>
      </c>
      <c r="C121" s="342"/>
      <c r="D121" s="342"/>
      <c r="E121" s="343" t="s">
        <v>953</v>
      </c>
      <c r="F121" s="344"/>
      <c r="G121" s="345"/>
      <c r="H121" s="346"/>
      <c r="I121" s="344"/>
      <c r="J121" s="347"/>
      <c r="K121" s="348">
        <f>SUM(K122:K122)</f>
        <v>1256.3399999999999</v>
      </c>
      <c r="L121" s="348">
        <f>SUM(L122:L122)</f>
        <v>38632.455000000002</v>
      </c>
      <c r="M121" s="348">
        <f>SUM(M122:M122)</f>
        <v>39888.79</v>
      </c>
      <c r="N121" s="350"/>
      <c r="O121" s="351"/>
      <c r="P121" s="352"/>
      <c r="Q121" s="348">
        <f>SUM(Q122:Q122)</f>
        <v>1532.2322640000002</v>
      </c>
      <c r="R121" s="348">
        <f>SUM(R122:R122)</f>
        <v>47116.142118000003</v>
      </c>
      <c r="S121" s="348">
        <f>SUM(S122:S122)</f>
        <v>48648.37</v>
      </c>
      <c r="T121" s="349">
        <f t="shared" si="254"/>
        <v>4.3348035745141442E-2</v>
      </c>
    </row>
    <row r="122" spans="2:20" ht="24.95" customHeight="1" x14ac:dyDescent="0.25">
      <c r="B122" s="162" t="s">
        <v>955</v>
      </c>
      <c r="C122" s="160" t="s">
        <v>752</v>
      </c>
      <c r="D122" s="171" t="s">
        <v>31</v>
      </c>
      <c r="E122" s="163" t="s">
        <v>753</v>
      </c>
      <c r="F122" s="160" t="s">
        <v>35</v>
      </c>
      <c r="G122" s="164">
        <v>10469.5</v>
      </c>
      <c r="H122" s="165">
        <v>0.12</v>
      </c>
      <c r="I122" s="166">
        <v>3.69</v>
      </c>
      <c r="J122" s="167">
        <f t="shared" ref="J122:J126" si="255">TRUNC(SUM(H122:I122),2)</f>
        <v>3.81</v>
      </c>
      <c r="K122" s="168">
        <f t="shared" ref="K122:K140" si="256">+H122*G122</f>
        <v>1256.3399999999999</v>
      </c>
      <c r="L122" s="169">
        <f t="shared" ref="L122:L140" si="257">+I122*G122</f>
        <v>38632.455000000002</v>
      </c>
      <c r="M122" s="170">
        <f t="shared" ref="M122:M126" si="258">TRUNC(SUM(K122:L122),2)</f>
        <v>39888.79</v>
      </c>
      <c r="N122" s="165">
        <f t="shared" si="118"/>
        <v>0.14635200000000001</v>
      </c>
      <c r="O122" s="166">
        <f t="shared" si="119"/>
        <v>4.500324</v>
      </c>
      <c r="P122" s="167">
        <f t="shared" ref="P122:P126" si="259">TRUNC(SUM(N122:O122),2)</f>
        <v>4.6399999999999997</v>
      </c>
      <c r="Q122" s="168">
        <f t="shared" ref="Q122:Q126" si="260">+N122*G122</f>
        <v>1532.2322640000002</v>
      </c>
      <c r="R122" s="169">
        <f t="shared" ref="R122:R126" si="261">+O122*G122</f>
        <v>47116.142118000003</v>
      </c>
      <c r="S122" s="169">
        <f t="shared" ref="S122:S126" si="262">TRUNC(SUM(Q122:R122),2)</f>
        <v>48648.37</v>
      </c>
      <c r="T122" s="161">
        <f t="shared" si="254"/>
        <v>4.3348035745141442E-2</v>
      </c>
    </row>
    <row r="123" spans="2:20" ht="24.95" customHeight="1" x14ac:dyDescent="0.25">
      <c r="B123" s="341" t="s">
        <v>957</v>
      </c>
      <c r="C123" s="362"/>
      <c r="D123" s="363"/>
      <c r="E123" s="343" t="s">
        <v>956</v>
      </c>
      <c r="F123" s="342"/>
      <c r="G123" s="361"/>
      <c r="H123" s="350"/>
      <c r="I123" s="351"/>
      <c r="J123" s="352">
        <f t="shared" si="255"/>
        <v>0</v>
      </c>
      <c r="K123" s="348">
        <f>SUM(K124:K126)</f>
        <v>654.98</v>
      </c>
      <c r="L123" s="348">
        <f>SUM(L124:L126)</f>
        <v>569.38</v>
      </c>
      <c r="M123" s="348">
        <f>SUM(M124:M126)</f>
        <v>1224.3600000000001</v>
      </c>
      <c r="N123" s="350">
        <f t="shared" si="118"/>
        <v>0</v>
      </c>
      <c r="O123" s="351">
        <f t="shared" si="119"/>
        <v>0</v>
      </c>
      <c r="P123" s="352">
        <f t="shared" si="259"/>
        <v>0</v>
      </c>
      <c r="Q123" s="348">
        <f>SUM(Q124:Q126)</f>
        <v>798.81360800000004</v>
      </c>
      <c r="R123" s="348">
        <f>SUM(R124:R126)</f>
        <v>694.41584799999998</v>
      </c>
      <c r="S123" s="348">
        <f>SUM(S124:S126)</f>
        <v>1493.21</v>
      </c>
      <c r="T123" s="349">
        <f t="shared" si="254"/>
        <v>1.3305218747309037E-3</v>
      </c>
    </row>
    <row r="124" spans="2:20" ht="24.95" customHeight="1" x14ac:dyDescent="0.25">
      <c r="B124" s="162" t="s">
        <v>958</v>
      </c>
      <c r="C124" s="160" t="s">
        <v>841</v>
      </c>
      <c r="D124" s="171" t="s">
        <v>842</v>
      </c>
      <c r="E124" s="163" t="s">
        <v>843</v>
      </c>
      <c r="F124" s="160" t="s">
        <v>22</v>
      </c>
      <c r="G124" s="427">
        <v>46</v>
      </c>
      <c r="H124" s="165">
        <v>4.88</v>
      </c>
      <c r="I124" s="166">
        <v>5.29</v>
      </c>
      <c r="J124" s="167">
        <f t="shared" si="255"/>
        <v>10.17</v>
      </c>
      <c r="K124" s="168">
        <f t="shared" si="256"/>
        <v>224.48</v>
      </c>
      <c r="L124" s="169">
        <f t="shared" si="257"/>
        <v>243.34</v>
      </c>
      <c r="M124" s="415">
        <f t="shared" si="258"/>
        <v>467.82</v>
      </c>
      <c r="N124" s="165">
        <f t="shared" si="118"/>
        <v>5.9516479999999996</v>
      </c>
      <c r="O124" s="166">
        <f t="shared" si="119"/>
        <v>6.4516840000000002</v>
      </c>
      <c r="P124" s="167">
        <f t="shared" si="259"/>
        <v>12.4</v>
      </c>
      <c r="Q124" s="168">
        <f t="shared" si="260"/>
        <v>273.77580799999998</v>
      </c>
      <c r="R124" s="169">
        <f t="shared" si="261"/>
        <v>296.77746400000001</v>
      </c>
      <c r="S124" s="169">
        <f t="shared" si="262"/>
        <v>570.54999999999995</v>
      </c>
      <c r="T124" s="416">
        <f t="shared" si="254"/>
        <v>5.0838747103737383E-4</v>
      </c>
    </row>
    <row r="125" spans="2:20" ht="24.95" customHeight="1" x14ac:dyDescent="0.25">
      <c r="B125" s="162" t="s">
        <v>959</v>
      </c>
      <c r="C125" s="160" t="s">
        <v>746</v>
      </c>
      <c r="D125" s="171" t="s">
        <v>124</v>
      </c>
      <c r="E125" s="163" t="s">
        <v>440</v>
      </c>
      <c r="F125" s="160" t="s">
        <v>22</v>
      </c>
      <c r="G125" s="427">
        <v>13</v>
      </c>
      <c r="H125" s="165">
        <v>7.7</v>
      </c>
      <c r="I125" s="166">
        <v>4.92</v>
      </c>
      <c r="J125" s="167">
        <f t="shared" si="255"/>
        <v>12.62</v>
      </c>
      <c r="K125" s="168">
        <f t="shared" si="256"/>
        <v>100.10000000000001</v>
      </c>
      <c r="L125" s="169">
        <f t="shared" si="257"/>
        <v>63.96</v>
      </c>
      <c r="M125" s="415">
        <f t="shared" si="258"/>
        <v>164.06</v>
      </c>
      <c r="N125" s="165">
        <f t="shared" si="118"/>
        <v>9.3909199999999995</v>
      </c>
      <c r="O125" s="166">
        <f t="shared" si="119"/>
        <v>6.000432</v>
      </c>
      <c r="P125" s="167">
        <f t="shared" si="259"/>
        <v>15.39</v>
      </c>
      <c r="Q125" s="168">
        <f t="shared" si="260"/>
        <v>122.08196</v>
      </c>
      <c r="R125" s="169">
        <f t="shared" si="261"/>
        <v>78.005616000000003</v>
      </c>
      <c r="S125" s="169">
        <f t="shared" si="262"/>
        <v>200.08</v>
      </c>
      <c r="T125" s="416">
        <f t="shared" si="254"/>
        <v>1.782808959866055E-4</v>
      </c>
    </row>
    <row r="126" spans="2:20" ht="24.95" customHeight="1" x14ac:dyDescent="0.25">
      <c r="B126" s="162" t="s">
        <v>960</v>
      </c>
      <c r="C126" s="160" t="s">
        <v>747</v>
      </c>
      <c r="D126" s="171" t="s">
        <v>124</v>
      </c>
      <c r="E126" s="163" t="s">
        <v>443</v>
      </c>
      <c r="F126" s="160" t="s">
        <v>22</v>
      </c>
      <c r="G126" s="427">
        <v>112</v>
      </c>
      <c r="H126" s="165">
        <v>2.95</v>
      </c>
      <c r="I126" s="166">
        <v>2.34</v>
      </c>
      <c r="J126" s="167">
        <f t="shared" si="255"/>
        <v>5.29</v>
      </c>
      <c r="K126" s="168">
        <f t="shared" si="256"/>
        <v>330.40000000000003</v>
      </c>
      <c r="L126" s="169">
        <f t="shared" si="257"/>
        <v>262.08</v>
      </c>
      <c r="M126" s="415">
        <f t="shared" si="258"/>
        <v>592.48</v>
      </c>
      <c r="N126" s="165">
        <f t="shared" ref="N126:N140" si="263">+H126*(1+$T$10)</f>
        <v>3.5978200000000005</v>
      </c>
      <c r="O126" s="166">
        <f t="shared" ref="O126:O140" si="264">+I126*(1+$T$10)</f>
        <v>2.8538639999999997</v>
      </c>
      <c r="P126" s="167">
        <f t="shared" si="259"/>
        <v>6.45</v>
      </c>
      <c r="Q126" s="168">
        <f t="shared" si="260"/>
        <v>402.95584000000008</v>
      </c>
      <c r="R126" s="169">
        <f t="shared" si="261"/>
        <v>319.63276799999994</v>
      </c>
      <c r="S126" s="169">
        <f t="shared" si="262"/>
        <v>722.58</v>
      </c>
      <c r="T126" s="416">
        <f t="shared" si="254"/>
        <v>6.4385350770692425E-4</v>
      </c>
    </row>
    <row r="127" spans="2:20" ht="24.95" customHeight="1" x14ac:dyDescent="0.25">
      <c r="B127" s="341" t="s">
        <v>961</v>
      </c>
      <c r="C127" s="362"/>
      <c r="D127" s="363"/>
      <c r="E127" s="343" t="s">
        <v>962</v>
      </c>
      <c r="F127" s="342"/>
      <c r="G127" s="361"/>
      <c r="H127" s="350"/>
      <c r="I127" s="351"/>
      <c r="J127" s="352">
        <f t="shared" ref="J127" si="265">TRUNC(SUM(H127:I127),2)</f>
        <v>0</v>
      </c>
      <c r="K127" s="348">
        <f>SUM(K128:K129)</f>
        <v>84.960000000000008</v>
      </c>
      <c r="L127" s="348">
        <f>SUM(L128:L129)</f>
        <v>154.64000000000001</v>
      </c>
      <c r="M127" s="348">
        <f>SUM(M128:M129)</f>
        <v>239.6</v>
      </c>
      <c r="N127" s="350">
        <f t="shared" si="263"/>
        <v>0</v>
      </c>
      <c r="O127" s="351">
        <f t="shared" si="264"/>
        <v>0</v>
      </c>
      <c r="P127" s="352">
        <f t="shared" ref="P127" si="266">TRUNC(SUM(N127:O127),2)</f>
        <v>0</v>
      </c>
      <c r="Q127" s="348">
        <f>SUM(Q128:Q129)</f>
        <v>103.61721599999998</v>
      </c>
      <c r="R127" s="348">
        <f>SUM(R128:R129)</f>
        <v>188.59894400000002</v>
      </c>
      <c r="S127" s="348">
        <f>SUM(S128:S129)</f>
        <v>292.21000000000004</v>
      </c>
      <c r="T127" s="349">
        <f t="shared" si="254"/>
        <v>2.6037315381970209E-4</v>
      </c>
    </row>
    <row r="128" spans="2:20" ht="24.95" customHeight="1" x14ac:dyDescent="0.25">
      <c r="B128" s="162" t="s">
        <v>963</v>
      </c>
      <c r="C128" s="160" t="s">
        <v>964</v>
      </c>
      <c r="D128" s="171" t="s">
        <v>212</v>
      </c>
      <c r="E128" s="163" t="s">
        <v>965</v>
      </c>
      <c r="F128" s="160" t="s">
        <v>22</v>
      </c>
      <c r="G128" s="164">
        <v>4</v>
      </c>
      <c r="H128" s="165">
        <v>14.16</v>
      </c>
      <c r="I128" s="166">
        <v>27.17</v>
      </c>
      <c r="J128" s="167">
        <f t="shared" si="252"/>
        <v>41.33</v>
      </c>
      <c r="K128" s="168">
        <f t="shared" si="256"/>
        <v>56.64</v>
      </c>
      <c r="L128" s="169">
        <f t="shared" si="257"/>
        <v>108.68</v>
      </c>
      <c r="M128" s="170">
        <f t="shared" ref="M128:M133" si="267">TRUNC(SUM(K128:L128),2)</f>
        <v>165.32</v>
      </c>
      <c r="N128" s="165">
        <f t="shared" si="263"/>
        <v>17.269535999999999</v>
      </c>
      <c r="O128" s="166">
        <f t="shared" si="264"/>
        <v>33.136532000000003</v>
      </c>
      <c r="P128" s="167">
        <f t="shared" si="253"/>
        <v>50.4</v>
      </c>
      <c r="Q128" s="168">
        <f t="shared" ref="Q128:Q129" si="268">+N128*G128</f>
        <v>69.078143999999995</v>
      </c>
      <c r="R128" s="169">
        <f t="shared" ref="R128:R129" si="269">+O128*G128</f>
        <v>132.54612800000001</v>
      </c>
      <c r="S128" s="169">
        <f t="shared" ref="S128:S129" si="270">TRUNC(SUM(Q128:R128),2)</f>
        <v>201.62</v>
      </c>
      <c r="T128" s="161">
        <f t="shared" si="254"/>
        <v>1.7965311000009697E-4</v>
      </c>
    </row>
    <row r="129" spans="2:20" ht="24.95" customHeight="1" x14ac:dyDescent="0.25">
      <c r="B129" s="162" t="s">
        <v>1197</v>
      </c>
      <c r="C129" s="160" t="s">
        <v>966</v>
      </c>
      <c r="D129" s="171" t="s">
        <v>212</v>
      </c>
      <c r="E129" s="163" t="s">
        <v>967</v>
      </c>
      <c r="F129" s="160" t="s">
        <v>22</v>
      </c>
      <c r="G129" s="164">
        <v>2</v>
      </c>
      <c r="H129" s="165">
        <v>14.16</v>
      </c>
      <c r="I129" s="166">
        <v>22.98</v>
      </c>
      <c r="J129" s="167">
        <f t="shared" si="252"/>
        <v>37.14</v>
      </c>
      <c r="K129" s="168">
        <f t="shared" si="256"/>
        <v>28.32</v>
      </c>
      <c r="L129" s="169">
        <f t="shared" si="257"/>
        <v>45.96</v>
      </c>
      <c r="M129" s="170">
        <f t="shared" si="267"/>
        <v>74.28</v>
      </c>
      <c r="N129" s="165">
        <f t="shared" si="263"/>
        <v>17.269535999999999</v>
      </c>
      <c r="O129" s="166">
        <f t="shared" si="264"/>
        <v>28.026408</v>
      </c>
      <c r="P129" s="167">
        <f t="shared" si="253"/>
        <v>45.29</v>
      </c>
      <c r="Q129" s="168">
        <f t="shared" si="268"/>
        <v>34.539071999999997</v>
      </c>
      <c r="R129" s="169">
        <f t="shared" si="269"/>
        <v>56.052816</v>
      </c>
      <c r="S129" s="169">
        <f t="shared" si="270"/>
        <v>90.59</v>
      </c>
      <c r="T129" s="161">
        <f t="shared" si="254"/>
        <v>8.0720043819605116E-5</v>
      </c>
    </row>
    <row r="130" spans="2:20" ht="24.95" customHeight="1" x14ac:dyDescent="0.25">
      <c r="B130" s="162"/>
      <c r="C130" s="160"/>
      <c r="D130" s="171"/>
      <c r="E130" s="163"/>
      <c r="F130" s="160"/>
      <c r="G130" s="164"/>
      <c r="H130" s="165"/>
      <c r="I130" s="166"/>
      <c r="J130" s="167"/>
      <c r="K130" s="168"/>
      <c r="L130" s="168"/>
      <c r="M130" s="426"/>
      <c r="N130" s="165"/>
      <c r="O130" s="166"/>
      <c r="P130" s="167"/>
      <c r="Q130" s="168"/>
      <c r="R130" s="168"/>
      <c r="S130" s="168"/>
      <c r="T130" s="161"/>
    </row>
    <row r="131" spans="2:20" ht="24.95" customHeight="1" x14ac:dyDescent="0.25">
      <c r="B131" s="341" t="s">
        <v>969</v>
      </c>
      <c r="C131" s="362"/>
      <c r="D131" s="363"/>
      <c r="E131" s="343" t="s">
        <v>968</v>
      </c>
      <c r="F131" s="342"/>
      <c r="G131" s="361"/>
      <c r="H131" s="350"/>
      <c r="I131" s="351"/>
      <c r="J131" s="352">
        <f t="shared" si="252"/>
        <v>0</v>
      </c>
      <c r="K131" s="348">
        <f>SUM(K132:K140)</f>
        <v>8815.9</v>
      </c>
      <c r="L131" s="348">
        <f>SUM(L132:L140)</f>
        <v>10578.78</v>
      </c>
      <c r="M131" s="348">
        <f>SUM(M132:M140)</f>
        <v>19394.68</v>
      </c>
      <c r="N131" s="350">
        <f t="shared" ref="N131" si="271">+H131*(1+$T$10)</f>
        <v>0</v>
      </c>
      <c r="O131" s="351">
        <f t="shared" ref="O131" si="272">+I131*(1+$T$10)</f>
        <v>0</v>
      </c>
      <c r="P131" s="352">
        <f t="shared" si="253"/>
        <v>0</v>
      </c>
      <c r="Q131" s="348">
        <f>SUM(Q132:Q140)</f>
        <v>10751.871640000001</v>
      </c>
      <c r="R131" s="348">
        <f>SUM(R132:R140)</f>
        <v>12901.880088</v>
      </c>
      <c r="S131" s="348">
        <f>SUM(S132:S140)</f>
        <v>23653.71</v>
      </c>
      <c r="T131" s="349">
        <f t="shared" ref="T131:T143" si="273">+S131/$S$201</f>
        <v>2.1076592424067023E-2</v>
      </c>
    </row>
    <row r="132" spans="2:20" ht="24.95" customHeight="1" x14ac:dyDescent="0.25">
      <c r="B132" s="162" t="s">
        <v>1370</v>
      </c>
      <c r="C132" s="160" t="s">
        <v>975</v>
      </c>
      <c r="D132" s="171" t="s">
        <v>175</v>
      </c>
      <c r="E132" s="163" t="s">
        <v>815</v>
      </c>
      <c r="F132" s="160" t="s">
        <v>225</v>
      </c>
      <c r="G132" s="164">
        <v>1056</v>
      </c>
      <c r="H132" s="165">
        <v>0.27</v>
      </c>
      <c r="I132" s="166">
        <v>0.11</v>
      </c>
      <c r="J132" s="167">
        <f t="shared" ref="J132:J133" si="274">TRUNC(SUM(H132:I132),2)</f>
        <v>0.38</v>
      </c>
      <c r="K132" s="168">
        <f t="shared" si="256"/>
        <v>285.12</v>
      </c>
      <c r="L132" s="169">
        <f t="shared" si="257"/>
        <v>116.16</v>
      </c>
      <c r="M132" s="170">
        <f t="shared" si="267"/>
        <v>401.28</v>
      </c>
      <c r="N132" s="165">
        <f t="shared" si="263"/>
        <v>0.32929200000000003</v>
      </c>
      <c r="O132" s="166">
        <f t="shared" si="264"/>
        <v>0.134156</v>
      </c>
      <c r="P132" s="167">
        <f t="shared" ref="P132:P133" si="275">TRUNC(SUM(N132:O132),2)</f>
        <v>0.46</v>
      </c>
      <c r="Q132" s="168">
        <f t="shared" ref="Q132:Q133" si="276">+N132*G132</f>
        <v>347.73235200000005</v>
      </c>
      <c r="R132" s="169">
        <f t="shared" ref="R132:R133" si="277">+O132*G132</f>
        <v>141.668736</v>
      </c>
      <c r="S132" s="169">
        <f t="shared" ref="S132:S133" si="278">TRUNC(SUM(Q132:R132),2)</f>
        <v>489.4</v>
      </c>
      <c r="T132" s="161">
        <f t="shared" si="273"/>
        <v>4.360789209108593E-4</v>
      </c>
    </row>
    <row r="133" spans="2:20" ht="24.95" customHeight="1" x14ac:dyDescent="0.25">
      <c r="B133" s="162" t="s">
        <v>1371</v>
      </c>
      <c r="C133" s="160" t="s">
        <v>977</v>
      </c>
      <c r="D133" s="171" t="s">
        <v>175</v>
      </c>
      <c r="E133" s="163" t="s">
        <v>978</v>
      </c>
      <c r="F133" s="160" t="s">
        <v>225</v>
      </c>
      <c r="G133" s="164">
        <v>790</v>
      </c>
      <c r="H133" s="165">
        <v>0.27</v>
      </c>
      <c r="I133" s="166">
        <v>0.11</v>
      </c>
      <c r="J133" s="167">
        <f t="shared" si="274"/>
        <v>0.38</v>
      </c>
      <c r="K133" s="168">
        <f t="shared" si="256"/>
        <v>213.3</v>
      </c>
      <c r="L133" s="169">
        <f t="shared" si="257"/>
        <v>86.9</v>
      </c>
      <c r="M133" s="170">
        <f t="shared" si="267"/>
        <v>300.2</v>
      </c>
      <c r="N133" s="165">
        <f t="shared" si="263"/>
        <v>0.32929200000000003</v>
      </c>
      <c r="O133" s="166">
        <f t="shared" si="264"/>
        <v>0.134156</v>
      </c>
      <c r="P133" s="167">
        <f t="shared" si="275"/>
        <v>0.46</v>
      </c>
      <c r="Q133" s="168">
        <f t="shared" si="276"/>
        <v>260.14068000000003</v>
      </c>
      <c r="R133" s="169">
        <f t="shared" si="277"/>
        <v>105.98324</v>
      </c>
      <c r="S133" s="169">
        <f t="shared" si="278"/>
        <v>366.12</v>
      </c>
      <c r="T133" s="161">
        <f t="shared" si="273"/>
        <v>3.2623051598668534E-4</v>
      </c>
    </row>
    <row r="134" spans="2:20" ht="24.95" customHeight="1" x14ac:dyDescent="0.25">
      <c r="B134" s="162" t="s">
        <v>1372</v>
      </c>
      <c r="C134" s="160" t="s">
        <v>980</v>
      </c>
      <c r="D134" s="171" t="s">
        <v>124</v>
      </c>
      <c r="E134" s="163" t="s">
        <v>981</v>
      </c>
      <c r="F134" s="160" t="s">
        <v>824</v>
      </c>
      <c r="G134" s="164">
        <v>116</v>
      </c>
      <c r="H134" s="165">
        <v>0.47</v>
      </c>
      <c r="I134" s="166">
        <v>0.22</v>
      </c>
      <c r="J134" s="167">
        <f t="shared" ref="J134:J136" si="279">TRUNC(SUM(H134:I134),2)</f>
        <v>0.69</v>
      </c>
      <c r="K134" s="168">
        <f t="shared" si="256"/>
        <v>54.519999999999996</v>
      </c>
      <c r="L134" s="169">
        <f t="shared" si="257"/>
        <v>25.52</v>
      </c>
      <c r="M134" s="170">
        <f t="shared" ref="M134:M136" si="280">TRUNC(SUM(K134:L134),2)</f>
        <v>80.040000000000006</v>
      </c>
      <c r="N134" s="165">
        <f t="shared" si="263"/>
        <v>0.57321199999999994</v>
      </c>
      <c r="O134" s="166">
        <f t="shared" si="264"/>
        <v>0.26831199999999999</v>
      </c>
      <c r="P134" s="167">
        <f t="shared" ref="P134:P136" si="281">TRUNC(SUM(N134:O134),2)</f>
        <v>0.84</v>
      </c>
      <c r="Q134" s="168">
        <f t="shared" ref="Q134:Q136" si="282">+N134*G134</f>
        <v>66.492591999999988</v>
      </c>
      <c r="R134" s="169">
        <f t="shared" ref="R134:R136" si="283">+O134*G134</f>
        <v>31.124192000000001</v>
      </c>
      <c r="S134" s="169">
        <f t="shared" ref="S134:S136" si="284">TRUNC(SUM(Q134:R134),2)</f>
        <v>97.61</v>
      </c>
      <c r="T134" s="161">
        <f t="shared" si="273"/>
        <v>8.6975201205780498E-5</v>
      </c>
    </row>
    <row r="135" spans="2:20" ht="24.95" customHeight="1" x14ac:dyDescent="0.25">
      <c r="B135" s="162" t="s">
        <v>1373</v>
      </c>
      <c r="C135" s="160" t="s">
        <v>750</v>
      </c>
      <c r="D135" s="171" t="s">
        <v>124</v>
      </c>
      <c r="E135" s="163" t="s">
        <v>460</v>
      </c>
      <c r="F135" s="160" t="s">
        <v>225</v>
      </c>
      <c r="G135" s="164">
        <v>88</v>
      </c>
      <c r="H135" s="165">
        <v>2.95</v>
      </c>
      <c r="I135" s="166">
        <v>1.29</v>
      </c>
      <c r="J135" s="167">
        <f t="shared" si="279"/>
        <v>4.24</v>
      </c>
      <c r="K135" s="168">
        <f t="shared" si="256"/>
        <v>259.60000000000002</v>
      </c>
      <c r="L135" s="169">
        <f t="shared" si="257"/>
        <v>113.52000000000001</v>
      </c>
      <c r="M135" s="170">
        <f t="shared" si="280"/>
        <v>373.12</v>
      </c>
      <c r="N135" s="165">
        <f t="shared" si="263"/>
        <v>3.5978200000000005</v>
      </c>
      <c r="O135" s="166">
        <f t="shared" si="264"/>
        <v>1.5732840000000001</v>
      </c>
      <c r="P135" s="167">
        <f t="shared" si="281"/>
        <v>5.17</v>
      </c>
      <c r="Q135" s="168">
        <f t="shared" si="282"/>
        <v>316.60816000000005</v>
      </c>
      <c r="R135" s="169">
        <f t="shared" si="283"/>
        <v>138.448992</v>
      </c>
      <c r="S135" s="169">
        <f t="shared" si="284"/>
        <v>455.05</v>
      </c>
      <c r="T135" s="161">
        <f t="shared" si="273"/>
        <v>4.0547142002551396E-4</v>
      </c>
    </row>
    <row r="136" spans="2:20" ht="24.95" customHeight="1" x14ac:dyDescent="0.25">
      <c r="B136" s="162" t="s">
        <v>1374</v>
      </c>
      <c r="C136" s="160" t="s">
        <v>984</v>
      </c>
      <c r="D136" s="171" t="s">
        <v>124</v>
      </c>
      <c r="E136" s="163" t="s">
        <v>985</v>
      </c>
      <c r="F136" s="160" t="s">
        <v>22</v>
      </c>
      <c r="G136" s="164">
        <v>18</v>
      </c>
      <c r="H136" s="165">
        <v>2.97</v>
      </c>
      <c r="I136" s="166">
        <v>1.45</v>
      </c>
      <c r="J136" s="167">
        <f t="shared" si="279"/>
        <v>4.42</v>
      </c>
      <c r="K136" s="168">
        <f t="shared" si="256"/>
        <v>53.46</v>
      </c>
      <c r="L136" s="169">
        <f t="shared" si="257"/>
        <v>26.099999999999998</v>
      </c>
      <c r="M136" s="170">
        <f t="shared" si="280"/>
        <v>79.56</v>
      </c>
      <c r="N136" s="165">
        <f t="shared" si="263"/>
        <v>3.6222120000000002</v>
      </c>
      <c r="O136" s="166">
        <f t="shared" si="264"/>
        <v>1.7684199999999999</v>
      </c>
      <c r="P136" s="167">
        <f t="shared" si="281"/>
        <v>5.39</v>
      </c>
      <c r="Q136" s="168">
        <f t="shared" si="282"/>
        <v>65.199815999999998</v>
      </c>
      <c r="R136" s="169">
        <f t="shared" si="283"/>
        <v>31.831559999999996</v>
      </c>
      <c r="S136" s="169">
        <f t="shared" si="284"/>
        <v>97.03</v>
      </c>
      <c r="T136" s="161">
        <f t="shared" si="273"/>
        <v>8.6458393330569427E-5</v>
      </c>
    </row>
    <row r="137" spans="2:20" ht="24.95" customHeight="1" x14ac:dyDescent="0.25">
      <c r="B137" s="162" t="s">
        <v>1375</v>
      </c>
      <c r="C137" s="160" t="s">
        <v>751</v>
      </c>
      <c r="D137" s="171" t="s">
        <v>124</v>
      </c>
      <c r="E137" s="163" t="s">
        <v>480</v>
      </c>
      <c r="F137" s="160" t="s">
        <v>225</v>
      </c>
      <c r="G137" s="164">
        <v>452</v>
      </c>
      <c r="H137" s="165">
        <v>0.16</v>
      </c>
      <c r="I137" s="166">
        <v>0.44</v>
      </c>
      <c r="J137" s="167">
        <f t="shared" ref="J137:J166" si="285">TRUNC(SUM(H137:I137),2)</f>
        <v>0.6</v>
      </c>
      <c r="K137" s="168">
        <f t="shared" si="256"/>
        <v>72.320000000000007</v>
      </c>
      <c r="L137" s="169">
        <f t="shared" si="257"/>
        <v>198.88</v>
      </c>
      <c r="M137" s="170">
        <f t="shared" ref="M137:M166" si="286">TRUNC(SUM(K137:L137),2)</f>
        <v>271.2</v>
      </c>
      <c r="N137" s="165">
        <f t="shared" si="263"/>
        <v>0.195136</v>
      </c>
      <c r="O137" s="166">
        <f t="shared" si="264"/>
        <v>0.53662399999999999</v>
      </c>
      <c r="P137" s="167">
        <f t="shared" ref="P137:P166" si="287">TRUNC(SUM(N137:O137),2)</f>
        <v>0.73</v>
      </c>
      <c r="Q137" s="168">
        <f t="shared" ref="Q137:Q166" si="288">+N137*G137</f>
        <v>88.201471999999995</v>
      </c>
      <c r="R137" s="169">
        <f t="shared" ref="R137:R166" si="289">+O137*G137</f>
        <v>242.55404799999999</v>
      </c>
      <c r="S137" s="169">
        <f t="shared" ref="S137:S166" si="290">TRUNC(SUM(Q137:R137),2)</f>
        <v>330.75</v>
      </c>
      <c r="T137" s="161">
        <f t="shared" si="273"/>
        <v>2.9471414607941707E-4</v>
      </c>
    </row>
    <row r="138" spans="2:20" ht="24.95" customHeight="1" x14ac:dyDescent="0.25">
      <c r="B138" s="162" t="s">
        <v>1376</v>
      </c>
      <c r="C138" s="160" t="s">
        <v>988</v>
      </c>
      <c r="D138" s="171" t="s">
        <v>874</v>
      </c>
      <c r="E138" s="163" t="s">
        <v>989</v>
      </c>
      <c r="F138" s="160" t="s">
        <v>824</v>
      </c>
      <c r="G138" s="164">
        <v>912</v>
      </c>
      <c r="H138" s="165">
        <v>0.2</v>
      </c>
      <c r="I138" s="166">
        <v>0.18</v>
      </c>
      <c r="J138" s="167">
        <f t="shared" si="285"/>
        <v>0.38</v>
      </c>
      <c r="K138" s="168">
        <f t="shared" si="256"/>
        <v>182.4</v>
      </c>
      <c r="L138" s="169">
        <f t="shared" si="257"/>
        <v>164.16</v>
      </c>
      <c r="M138" s="170">
        <f t="shared" si="286"/>
        <v>346.56</v>
      </c>
      <c r="N138" s="165">
        <f t="shared" si="263"/>
        <v>0.24392000000000003</v>
      </c>
      <c r="O138" s="166">
        <f t="shared" si="264"/>
        <v>0.219528</v>
      </c>
      <c r="P138" s="167">
        <f t="shared" si="287"/>
        <v>0.46</v>
      </c>
      <c r="Q138" s="168">
        <f t="shared" si="288"/>
        <v>222.45504000000003</v>
      </c>
      <c r="R138" s="169">
        <f t="shared" si="289"/>
        <v>200.20953600000001</v>
      </c>
      <c r="S138" s="169">
        <f t="shared" si="290"/>
        <v>422.66</v>
      </c>
      <c r="T138" s="161">
        <f t="shared" si="273"/>
        <v>3.7661037333915775E-4</v>
      </c>
    </row>
    <row r="139" spans="2:20" ht="24.95" customHeight="1" x14ac:dyDescent="0.25">
      <c r="B139" s="162" t="s">
        <v>1377</v>
      </c>
      <c r="C139" s="160" t="s">
        <v>990</v>
      </c>
      <c r="D139" s="171" t="s">
        <v>175</v>
      </c>
      <c r="E139" s="163" t="s">
        <v>991</v>
      </c>
      <c r="F139" s="160" t="s">
        <v>225</v>
      </c>
      <c r="G139" s="164">
        <v>1384</v>
      </c>
      <c r="H139" s="165">
        <v>2.79</v>
      </c>
      <c r="I139" s="166">
        <v>0.94</v>
      </c>
      <c r="J139" s="167">
        <f t="shared" si="285"/>
        <v>3.73</v>
      </c>
      <c r="K139" s="168">
        <f t="shared" si="256"/>
        <v>3861.36</v>
      </c>
      <c r="L139" s="169">
        <f t="shared" si="257"/>
        <v>1300.96</v>
      </c>
      <c r="M139" s="170">
        <f t="shared" si="286"/>
        <v>5162.32</v>
      </c>
      <c r="N139" s="165">
        <f t="shared" si="263"/>
        <v>3.4026840000000003</v>
      </c>
      <c r="O139" s="166">
        <f t="shared" si="264"/>
        <v>1.1464239999999999</v>
      </c>
      <c r="P139" s="167">
        <f t="shared" si="287"/>
        <v>4.54</v>
      </c>
      <c r="Q139" s="168">
        <f t="shared" si="288"/>
        <v>4709.3146560000005</v>
      </c>
      <c r="R139" s="169">
        <f t="shared" si="289"/>
        <v>1586.6508159999998</v>
      </c>
      <c r="S139" s="169">
        <f t="shared" si="290"/>
        <v>6295.96</v>
      </c>
      <c r="T139" s="161">
        <f t="shared" si="273"/>
        <v>5.6100029482998234E-3</v>
      </c>
    </row>
    <row r="140" spans="2:20" ht="24.95" customHeight="1" x14ac:dyDescent="0.25">
      <c r="B140" s="162" t="s">
        <v>1378</v>
      </c>
      <c r="C140" s="160" t="s">
        <v>992</v>
      </c>
      <c r="D140" s="171" t="s">
        <v>175</v>
      </c>
      <c r="E140" s="163" t="s">
        <v>993</v>
      </c>
      <c r="F140" s="160" t="s">
        <v>225</v>
      </c>
      <c r="G140" s="164">
        <v>342</v>
      </c>
      <c r="H140" s="165">
        <v>11.21</v>
      </c>
      <c r="I140" s="166">
        <v>24.99</v>
      </c>
      <c r="J140" s="167">
        <f t="shared" si="285"/>
        <v>36.200000000000003</v>
      </c>
      <c r="K140" s="168">
        <f t="shared" si="256"/>
        <v>3833.82</v>
      </c>
      <c r="L140" s="169">
        <f t="shared" si="257"/>
        <v>8546.58</v>
      </c>
      <c r="M140" s="170">
        <f t="shared" si="286"/>
        <v>12380.4</v>
      </c>
      <c r="N140" s="165">
        <f t="shared" si="263"/>
        <v>13.671716000000002</v>
      </c>
      <c r="O140" s="166">
        <f t="shared" si="264"/>
        <v>30.477803999999999</v>
      </c>
      <c r="P140" s="167">
        <f t="shared" si="287"/>
        <v>44.14</v>
      </c>
      <c r="Q140" s="168">
        <f t="shared" si="288"/>
        <v>4675.7268720000002</v>
      </c>
      <c r="R140" s="169">
        <f t="shared" si="289"/>
        <v>10423.408968</v>
      </c>
      <c r="S140" s="169">
        <f t="shared" si="290"/>
        <v>15099.13</v>
      </c>
      <c r="T140" s="161">
        <f t="shared" si="273"/>
        <v>1.3454050504889216E-2</v>
      </c>
    </row>
    <row r="141" spans="2:20" ht="24.95" customHeight="1" x14ac:dyDescent="0.25">
      <c r="B141" s="341" t="s">
        <v>1379</v>
      </c>
      <c r="C141" s="362"/>
      <c r="D141" s="363"/>
      <c r="E141" s="343" t="s">
        <v>999</v>
      </c>
      <c r="F141" s="342"/>
      <c r="G141" s="361"/>
      <c r="H141" s="350"/>
      <c r="I141" s="351"/>
      <c r="J141" s="352">
        <f t="shared" ref="J141" si="291">TRUNC(SUM(H141:I141),2)</f>
        <v>0</v>
      </c>
      <c r="K141" s="348">
        <f>SUM(K142:K143)</f>
        <v>3406.5639999999999</v>
      </c>
      <c r="L141" s="348">
        <f t="shared" ref="L141:M141" si="292">SUM(L142:L143)</f>
        <v>6876.2820000000011</v>
      </c>
      <c r="M141" s="348">
        <f t="shared" si="292"/>
        <v>10282.84</v>
      </c>
      <c r="N141" s="350">
        <f t="shared" ref="N141" si="293">+H141*(1+$T$10)</f>
        <v>0</v>
      </c>
      <c r="O141" s="351">
        <f t="shared" ref="O141" si="294">+I141*(1+$T$10)</f>
        <v>0</v>
      </c>
      <c r="P141" s="352">
        <f t="shared" ref="P141" si="295">TRUNC(SUM(N141:O141),2)</f>
        <v>0</v>
      </c>
      <c r="Q141" s="348">
        <f>SUM(Q142:Q143)</f>
        <v>4154.6454543999998</v>
      </c>
      <c r="R141" s="348">
        <f t="shared" ref="R141" si="296">SUM(R142:R143)</f>
        <v>8386.3135272</v>
      </c>
      <c r="S141" s="348">
        <f t="shared" ref="S141" si="297">SUM(S142:S143)</f>
        <v>12540.949999999999</v>
      </c>
      <c r="T141" s="349">
        <f t="shared" si="273"/>
        <v>1.1174589176945322E-2</v>
      </c>
    </row>
    <row r="142" spans="2:20" ht="24.95" customHeight="1" x14ac:dyDescent="0.25">
      <c r="B142" s="162" t="s">
        <v>994</v>
      </c>
      <c r="C142" s="160" t="s">
        <v>970</v>
      </c>
      <c r="D142" s="171" t="s">
        <v>212</v>
      </c>
      <c r="E142" s="163" t="s">
        <v>971</v>
      </c>
      <c r="F142" s="160" t="s">
        <v>22</v>
      </c>
      <c r="G142" s="164">
        <v>7</v>
      </c>
      <c r="H142" s="165">
        <v>9.02</v>
      </c>
      <c r="I142" s="166">
        <v>22.71</v>
      </c>
      <c r="J142" s="167">
        <f t="shared" si="285"/>
        <v>31.73</v>
      </c>
      <c r="K142" s="168">
        <f t="shared" ref="K142:K166" si="298">+H142*G142</f>
        <v>63.14</v>
      </c>
      <c r="L142" s="169">
        <f t="shared" ref="L142:L166" si="299">+I142*G142</f>
        <v>158.97</v>
      </c>
      <c r="M142" s="170">
        <f t="shared" si="286"/>
        <v>222.11</v>
      </c>
      <c r="N142" s="165">
        <f t="shared" ref="N142:N166" si="300">+H142*(1+$T$10)</f>
        <v>11.000791999999999</v>
      </c>
      <c r="O142" s="166">
        <f t="shared" ref="O142:O166" si="301">+I142*(1+$T$10)</f>
        <v>27.697116000000001</v>
      </c>
      <c r="P142" s="167">
        <f t="shared" si="287"/>
        <v>38.69</v>
      </c>
      <c r="Q142" s="168">
        <f t="shared" si="288"/>
        <v>77.005543999999986</v>
      </c>
      <c r="R142" s="169">
        <f t="shared" si="289"/>
        <v>193.87981200000002</v>
      </c>
      <c r="S142" s="169">
        <f t="shared" si="290"/>
        <v>270.88</v>
      </c>
      <c r="T142" s="161">
        <f t="shared" si="273"/>
        <v>2.4136709868478455E-4</v>
      </c>
    </row>
    <row r="143" spans="2:20" ht="33.950000000000003" customHeight="1" x14ac:dyDescent="0.25">
      <c r="B143" s="162" t="s">
        <v>1380</v>
      </c>
      <c r="C143" s="160" t="s">
        <v>1487</v>
      </c>
      <c r="D143" s="171" t="s">
        <v>31</v>
      </c>
      <c r="E143" s="163" t="s">
        <v>1363</v>
      </c>
      <c r="F143" s="160" t="s">
        <v>35</v>
      </c>
      <c r="G143" s="427">
        <v>761.6</v>
      </c>
      <c r="H143" s="165">
        <v>4.3899999999999997</v>
      </c>
      <c r="I143" s="166">
        <v>8.82</v>
      </c>
      <c r="J143" s="167">
        <f t="shared" ref="J143" si="302">TRUNC(SUM(H143:I143),2)</f>
        <v>13.21</v>
      </c>
      <c r="K143" s="168">
        <f t="shared" ref="K143" si="303">+H143*G143</f>
        <v>3343.424</v>
      </c>
      <c r="L143" s="169">
        <f t="shared" ref="L143" si="304">+I143*G143</f>
        <v>6717.3120000000008</v>
      </c>
      <c r="M143" s="415">
        <f t="shared" ref="M143" si="305">TRUNC(SUM(K143:L143),2)</f>
        <v>10060.73</v>
      </c>
      <c r="N143" s="165">
        <f t="shared" ref="N143" si="306">+H143*(1+$T$10)</f>
        <v>5.354044</v>
      </c>
      <c r="O143" s="166">
        <f t="shared" ref="O143" si="307">+I143*(1+$T$10)</f>
        <v>10.756872000000001</v>
      </c>
      <c r="P143" s="167">
        <f t="shared" ref="P143" si="308">TRUNC(SUM(N143:O143),2)</f>
        <v>16.11</v>
      </c>
      <c r="Q143" s="168">
        <f t="shared" ref="Q143" si="309">+N143*G143</f>
        <v>4077.6399104000002</v>
      </c>
      <c r="R143" s="169">
        <f t="shared" ref="R143" si="310">+O143*G143</f>
        <v>8192.4337152000007</v>
      </c>
      <c r="S143" s="169">
        <f t="shared" ref="S143" si="311">TRUNC(SUM(Q143:R143),2)</f>
        <v>12270.07</v>
      </c>
      <c r="T143" s="416">
        <f t="shared" si="273"/>
        <v>1.0933222078260538E-2</v>
      </c>
    </row>
    <row r="144" spans="2:20" ht="24.95" customHeight="1" x14ac:dyDescent="0.25">
      <c r="B144" s="162"/>
      <c r="C144" s="160"/>
      <c r="D144" s="171"/>
      <c r="E144" s="163"/>
      <c r="F144" s="160"/>
      <c r="G144" s="164"/>
      <c r="H144" s="165"/>
      <c r="I144" s="166"/>
      <c r="J144" s="167"/>
      <c r="K144" s="168"/>
      <c r="L144" s="168"/>
      <c r="M144" s="426"/>
      <c r="N144" s="165"/>
      <c r="O144" s="166"/>
      <c r="P144" s="167"/>
      <c r="Q144" s="168"/>
      <c r="R144" s="168"/>
      <c r="S144" s="168"/>
      <c r="T144" s="161"/>
    </row>
    <row r="145" spans="2:20" ht="24.95" customHeight="1" x14ac:dyDescent="0.25">
      <c r="B145" s="341" t="s">
        <v>1000</v>
      </c>
      <c r="C145" s="362"/>
      <c r="D145" s="363"/>
      <c r="E145" s="343" t="s">
        <v>1003</v>
      </c>
      <c r="F145" s="342"/>
      <c r="G145" s="361"/>
      <c r="H145" s="350"/>
      <c r="I145" s="351"/>
      <c r="J145" s="352">
        <f t="shared" si="285"/>
        <v>0</v>
      </c>
      <c r="K145" s="348">
        <f>SUM(K146:K150)</f>
        <v>3013.9900000000007</v>
      </c>
      <c r="L145" s="348">
        <f>SUM(L146:L150)</f>
        <v>6445.28</v>
      </c>
      <c r="M145" s="348">
        <f>SUM(M146:M150)</f>
        <v>9459.27</v>
      </c>
      <c r="N145" s="350">
        <f t="shared" si="300"/>
        <v>0</v>
      </c>
      <c r="O145" s="351">
        <f t="shared" si="301"/>
        <v>0</v>
      </c>
      <c r="P145" s="352">
        <f t="shared" si="287"/>
        <v>0</v>
      </c>
      <c r="Q145" s="348">
        <f>SUM(Q146:Q150)</f>
        <v>3675.862204</v>
      </c>
      <c r="R145" s="348">
        <f>SUM(R146:R150)</f>
        <v>7860.6634880000001</v>
      </c>
      <c r="S145" s="348">
        <f>SUM(S146:S150)</f>
        <v>11536.51</v>
      </c>
      <c r="T145" s="349">
        <f t="shared" ref="T145:T154" si="312">+S145/$S$201</f>
        <v>1.0279584862847031E-2</v>
      </c>
    </row>
    <row r="146" spans="2:20" ht="24.95" customHeight="1" x14ac:dyDescent="0.25">
      <c r="B146" s="162" t="s">
        <v>1381</v>
      </c>
      <c r="C146" s="160" t="s">
        <v>754</v>
      </c>
      <c r="D146" s="171" t="s">
        <v>124</v>
      </c>
      <c r="E146" s="163" t="s">
        <v>541</v>
      </c>
      <c r="F146" s="160" t="s">
        <v>22</v>
      </c>
      <c r="G146" s="164">
        <v>17</v>
      </c>
      <c r="H146" s="165">
        <v>8.1999999999999993</v>
      </c>
      <c r="I146" s="166">
        <v>72.69</v>
      </c>
      <c r="J146" s="167">
        <f t="shared" si="285"/>
        <v>80.89</v>
      </c>
      <c r="K146" s="168">
        <f t="shared" si="298"/>
        <v>139.39999999999998</v>
      </c>
      <c r="L146" s="169">
        <f t="shared" si="299"/>
        <v>1235.73</v>
      </c>
      <c r="M146" s="170">
        <f t="shared" si="286"/>
        <v>1375.13</v>
      </c>
      <c r="N146" s="165">
        <f t="shared" si="300"/>
        <v>10.000719999999999</v>
      </c>
      <c r="O146" s="166">
        <f t="shared" si="301"/>
        <v>88.652723999999992</v>
      </c>
      <c r="P146" s="167">
        <f t="shared" si="287"/>
        <v>98.65</v>
      </c>
      <c r="Q146" s="168">
        <f t="shared" si="288"/>
        <v>170.01223999999999</v>
      </c>
      <c r="R146" s="169">
        <f t="shared" si="289"/>
        <v>1507.0963079999999</v>
      </c>
      <c r="S146" s="169">
        <f t="shared" si="290"/>
        <v>1677.1</v>
      </c>
      <c r="T146" s="161">
        <f t="shared" si="312"/>
        <v>1.4943767026146344E-3</v>
      </c>
    </row>
    <row r="147" spans="2:20" ht="24.95" customHeight="1" x14ac:dyDescent="0.25">
      <c r="B147" s="162" t="s">
        <v>1384</v>
      </c>
      <c r="C147" s="160">
        <v>72596</v>
      </c>
      <c r="D147" s="171" t="s">
        <v>874</v>
      </c>
      <c r="E147" s="163" t="s">
        <v>1008</v>
      </c>
      <c r="F147" s="160" t="s">
        <v>824</v>
      </c>
      <c r="G147" s="427">
        <v>217</v>
      </c>
      <c r="H147" s="165">
        <v>11.39</v>
      </c>
      <c r="I147" s="166">
        <v>15.8</v>
      </c>
      <c r="J147" s="167">
        <f t="shared" ref="J147" si="313">TRUNC(SUM(H147:I147),2)</f>
        <v>27.19</v>
      </c>
      <c r="K147" s="168">
        <f t="shared" ref="K147" si="314">+H147*G147</f>
        <v>2471.63</v>
      </c>
      <c r="L147" s="169">
        <f t="shared" ref="L147" si="315">+I147*G147</f>
        <v>3428.6000000000004</v>
      </c>
      <c r="M147" s="415">
        <f t="shared" ref="M147" si="316">TRUNC(SUM(K147:L147),2)</f>
        <v>5900.23</v>
      </c>
      <c r="N147" s="165">
        <f t="shared" ref="N147" si="317">+H147*(1+$T$10)</f>
        <v>13.891244</v>
      </c>
      <c r="O147" s="166">
        <f t="shared" ref="O147" si="318">+I147*(1+$T$10)</f>
        <v>19.269680000000001</v>
      </c>
      <c r="P147" s="167">
        <f t="shared" ref="P147" si="319">TRUNC(SUM(N147:O147),2)</f>
        <v>33.159999999999997</v>
      </c>
      <c r="Q147" s="168">
        <f t="shared" ref="Q147" si="320">+N147*G147</f>
        <v>3014.3999480000002</v>
      </c>
      <c r="R147" s="169">
        <f t="shared" ref="R147" si="321">+O147*G147</f>
        <v>4181.5205599999999</v>
      </c>
      <c r="S147" s="169">
        <f t="shared" ref="S147" si="322">TRUNC(SUM(Q147:R147),2)</f>
        <v>7195.92</v>
      </c>
      <c r="T147" s="416">
        <f t="shared" si="312"/>
        <v>6.4119105610152653E-3</v>
      </c>
    </row>
    <row r="148" spans="2:20" ht="24.95" customHeight="1" x14ac:dyDescent="0.25">
      <c r="B148" s="162" t="s">
        <v>1383</v>
      </c>
      <c r="C148" s="160" t="s">
        <v>1005</v>
      </c>
      <c r="D148" s="171" t="s">
        <v>212</v>
      </c>
      <c r="E148" s="163" t="s">
        <v>1006</v>
      </c>
      <c r="F148" s="160" t="s">
        <v>22</v>
      </c>
      <c r="G148" s="164">
        <v>11</v>
      </c>
      <c r="H148" s="165">
        <v>1.73</v>
      </c>
      <c r="I148" s="166">
        <v>2.89</v>
      </c>
      <c r="J148" s="167">
        <f t="shared" si="285"/>
        <v>4.62</v>
      </c>
      <c r="K148" s="168">
        <f t="shared" si="298"/>
        <v>19.03</v>
      </c>
      <c r="L148" s="169">
        <f t="shared" si="299"/>
        <v>31.790000000000003</v>
      </c>
      <c r="M148" s="170">
        <f t="shared" si="286"/>
        <v>50.82</v>
      </c>
      <c r="N148" s="165">
        <f t="shared" si="300"/>
        <v>2.1099079999999999</v>
      </c>
      <c r="O148" s="166">
        <f t="shared" si="301"/>
        <v>3.5246440000000003</v>
      </c>
      <c r="P148" s="167">
        <f t="shared" si="287"/>
        <v>5.63</v>
      </c>
      <c r="Q148" s="168">
        <f t="shared" si="288"/>
        <v>23.208987999999998</v>
      </c>
      <c r="R148" s="169">
        <f t="shared" si="289"/>
        <v>38.771084000000002</v>
      </c>
      <c r="S148" s="169">
        <f t="shared" si="290"/>
        <v>61.98</v>
      </c>
      <c r="T148" s="161">
        <f t="shared" si="312"/>
        <v>5.5227158802727951E-5</v>
      </c>
    </row>
    <row r="149" spans="2:20" ht="24.95" customHeight="1" x14ac:dyDescent="0.25">
      <c r="B149" s="162" t="s">
        <v>1385</v>
      </c>
      <c r="C149" s="160">
        <v>72425</v>
      </c>
      <c r="D149" s="171" t="s">
        <v>874</v>
      </c>
      <c r="E149" s="163" t="s">
        <v>1010</v>
      </c>
      <c r="F149" s="160" t="s">
        <v>824</v>
      </c>
      <c r="G149" s="427">
        <v>21</v>
      </c>
      <c r="H149" s="165">
        <v>0.91</v>
      </c>
      <c r="I149" s="166">
        <v>3.64</v>
      </c>
      <c r="J149" s="167">
        <f t="shared" si="285"/>
        <v>4.55</v>
      </c>
      <c r="K149" s="168">
        <f t="shared" si="298"/>
        <v>19.11</v>
      </c>
      <c r="L149" s="169">
        <f t="shared" si="299"/>
        <v>76.44</v>
      </c>
      <c r="M149" s="415">
        <f t="shared" si="286"/>
        <v>95.55</v>
      </c>
      <c r="N149" s="165">
        <f t="shared" si="300"/>
        <v>1.109836</v>
      </c>
      <c r="O149" s="166">
        <f t="shared" si="301"/>
        <v>4.4393440000000002</v>
      </c>
      <c r="P149" s="167">
        <f t="shared" si="287"/>
        <v>5.54</v>
      </c>
      <c r="Q149" s="168">
        <f t="shared" si="288"/>
        <v>23.306556</v>
      </c>
      <c r="R149" s="169">
        <f t="shared" si="289"/>
        <v>93.226224000000002</v>
      </c>
      <c r="S149" s="169">
        <f t="shared" si="290"/>
        <v>116.53</v>
      </c>
      <c r="T149" s="416">
        <f t="shared" si="312"/>
        <v>1.0383383051438993E-4</v>
      </c>
    </row>
    <row r="150" spans="2:20" ht="24.95" customHeight="1" x14ac:dyDescent="0.25">
      <c r="B150" s="162" t="s">
        <v>1386</v>
      </c>
      <c r="C150" s="160" t="s">
        <v>1011</v>
      </c>
      <c r="D150" s="171" t="s">
        <v>264</v>
      </c>
      <c r="E150" s="163" t="s">
        <v>1012</v>
      </c>
      <c r="F150" s="160" t="s">
        <v>22</v>
      </c>
      <c r="G150" s="427">
        <v>29</v>
      </c>
      <c r="H150" s="165">
        <v>12.58</v>
      </c>
      <c r="I150" s="166">
        <v>57.68</v>
      </c>
      <c r="J150" s="167">
        <f t="shared" si="285"/>
        <v>70.260000000000005</v>
      </c>
      <c r="K150" s="168">
        <f t="shared" si="298"/>
        <v>364.82</v>
      </c>
      <c r="L150" s="169">
        <f t="shared" si="299"/>
        <v>1672.72</v>
      </c>
      <c r="M150" s="415">
        <f t="shared" si="286"/>
        <v>2037.54</v>
      </c>
      <c r="N150" s="165">
        <f t="shared" si="300"/>
        <v>15.342568</v>
      </c>
      <c r="O150" s="166">
        <f t="shared" si="301"/>
        <v>70.346528000000006</v>
      </c>
      <c r="P150" s="167">
        <f t="shared" si="287"/>
        <v>85.68</v>
      </c>
      <c r="Q150" s="168">
        <f t="shared" si="288"/>
        <v>444.93447200000003</v>
      </c>
      <c r="R150" s="169">
        <f t="shared" si="289"/>
        <v>2040.0493120000001</v>
      </c>
      <c r="S150" s="169">
        <f t="shared" si="290"/>
        <v>2484.98</v>
      </c>
      <c r="T150" s="416">
        <f t="shared" si="312"/>
        <v>2.2142366099000147E-3</v>
      </c>
    </row>
    <row r="151" spans="2:20" ht="24.95" customHeight="1" x14ac:dyDescent="0.25">
      <c r="B151" s="341" t="s">
        <v>1002</v>
      </c>
      <c r="C151" s="362"/>
      <c r="D151" s="363"/>
      <c r="E151" s="343" t="s">
        <v>1016</v>
      </c>
      <c r="F151" s="342"/>
      <c r="G151" s="361"/>
      <c r="H151" s="350"/>
      <c r="I151" s="351"/>
      <c r="J151" s="352">
        <f t="shared" ref="J151" si="323">TRUNC(SUM(H151:I151),2)</f>
        <v>0</v>
      </c>
      <c r="K151" s="348">
        <f>SUM(K152:K154)</f>
        <v>16941.308000000001</v>
      </c>
      <c r="L151" s="348">
        <f>SUM(L152:L154)</f>
        <v>14854.406000000001</v>
      </c>
      <c r="M151" s="348">
        <f>SUM(M152:M154)</f>
        <v>31795.71</v>
      </c>
      <c r="N151" s="350">
        <f t="shared" ref="N151" si="324">+H151*(1+$T$10)</f>
        <v>0</v>
      </c>
      <c r="O151" s="351">
        <f t="shared" ref="O151" si="325">+I151*(1+$T$10)</f>
        <v>0</v>
      </c>
      <c r="P151" s="352">
        <f t="shared" ref="P151" si="326">TRUNC(SUM(N151:O151),2)</f>
        <v>0</v>
      </c>
      <c r="Q151" s="348">
        <f>SUM(Q152:Q154)</f>
        <v>20661.619236800001</v>
      </c>
      <c r="R151" s="348">
        <f>SUM(R152:R154)</f>
        <v>18116.433557600001</v>
      </c>
      <c r="S151" s="348">
        <f>SUM(S152:S154)</f>
        <v>38778.04</v>
      </c>
      <c r="T151" s="349">
        <f t="shared" si="312"/>
        <v>3.4553097340086103E-2</v>
      </c>
    </row>
    <row r="152" spans="2:20" ht="24.95" customHeight="1" x14ac:dyDescent="0.25">
      <c r="B152" s="162" t="s">
        <v>1387</v>
      </c>
      <c r="C152" s="160" t="s">
        <v>1352</v>
      </c>
      <c r="D152" s="171" t="s">
        <v>124</v>
      </c>
      <c r="E152" s="163" t="s">
        <v>302</v>
      </c>
      <c r="F152" s="160" t="s">
        <v>35</v>
      </c>
      <c r="G152" s="164">
        <v>588.6</v>
      </c>
      <c r="H152" s="165">
        <v>26.53</v>
      </c>
      <c r="I152" s="166">
        <v>22.71</v>
      </c>
      <c r="J152" s="167">
        <f t="shared" si="285"/>
        <v>49.24</v>
      </c>
      <c r="K152" s="168">
        <f t="shared" si="298"/>
        <v>15615.558000000001</v>
      </c>
      <c r="L152" s="169">
        <f t="shared" si="299"/>
        <v>13367.106000000002</v>
      </c>
      <c r="M152" s="170">
        <f t="shared" si="286"/>
        <v>28982.66</v>
      </c>
      <c r="N152" s="165">
        <f t="shared" si="300"/>
        <v>32.355988000000004</v>
      </c>
      <c r="O152" s="166">
        <f t="shared" si="301"/>
        <v>27.697116000000001</v>
      </c>
      <c r="P152" s="167">
        <f t="shared" si="287"/>
        <v>60.05</v>
      </c>
      <c r="Q152" s="168">
        <f t="shared" si="288"/>
        <v>19044.734536800002</v>
      </c>
      <c r="R152" s="169">
        <f t="shared" si="289"/>
        <v>16302.522477600001</v>
      </c>
      <c r="S152" s="169">
        <f t="shared" si="290"/>
        <v>35347.25</v>
      </c>
      <c r="T152" s="161">
        <f t="shared" si="312"/>
        <v>3.1496098563887152E-2</v>
      </c>
    </row>
    <row r="153" spans="2:20" ht="24.95" customHeight="1" x14ac:dyDescent="0.25">
      <c r="B153" s="162" t="s">
        <v>1388</v>
      </c>
      <c r="C153" s="160" t="s">
        <v>922</v>
      </c>
      <c r="D153" s="171" t="s">
        <v>175</v>
      </c>
      <c r="E153" s="163" t="s">
        <v>923</v>
      </c>
      <c r="F153" s="160" t="s">
        <v>225</v>
      </c>
      <c r="G153" s="427">
        <v>232</v>
      </c>
      <c r="H153" s="165">
        <v>5.6</v>
      </c>
      <c r="I153" s="166">
        <v>6.32</v>
      </c>
      <c r="J153" s="167">
        <f t="shared" si="285"/>
        <v>11.92</v>
      </c>
      <c r="K153" s="168">
        <f t="shared" si="298"/>
        <v>1299.1999999999998</v>
      </c>
      <c r="L153" s="169">
        <f t="shared" si="299"/>
        <v>1466.24</v>
      </c>
      <c r="M153" s="415">
        <f t="shared" si="286"/>
        <v>2765.44</v>
      </c>
      <c r="N153" s="165">
        <f t="shared" si="300"/>
        <v>6.8297599999999994</v>
      </c>
      <c r="O153" s="166">
        <f t="shared" si="301"/>
        <v>7.7078720000000001</v>
      </c>
      <c r="P153" s="167">
        <f t="shared" si="287"/>
        <v>14.53</v>
      </c>
      <c r="Q153" s="168">
        <f t="shared" si="288"/>
        <v>1584.5043199999998</v>
      </c>
      <c r="R153" s="169">
        <f t="shared" si="289"/>
        <v>1788.226304</v>
      </c>
      <c r="S153" s="169">
        <f t="shared" si="290"/>
        <v>3372.73</v>
      </c>
      <c r="T153" s="416">
        <f t="shared" si="312"/>
        <v>3.0052645257942021E-3</v>
      </c>
    </row>
    <row r="154" spans="2:20" ht="24.95" customHeight="1" x14ac:dyDescent="0.25">
      <c r="B154" s="162" t="s">
        <v>1389</v>
      </c>
      <c r="C154" s="160" t="s">
        <v>747</v>
      </c>
      <c r="D154" s="171" t="s">
        <v>124</v>
      </c>
      <c r="E154" s="163" t="s">
        <v>443</v>
      </c>
      <c r="F154" s="160" t="s">
        <v>22</v>
      </c>
      <c r="G154" s="427">
        <v>9</v>
      </c>
      <c r="H154" s="165">
        <v>2.95</v>
      </c>
      <c r="I154" s="166">
        <v>2.34</v>
      </c>
      <c r="J154" s="167">
        <f t="shared" si="285"/>
        <v>5.29</v>
      </c>
      <c r="K154" s="168">
        <f t="shared" si="298"/>
        <v>26.55</v>
      </c>
      <c r="L154" s="169">
        <f t="shared" si="299"/>
        <v>21.06</v>
      </c>
      <c r="M154" s="415">
        <f t="shared" si="286"/>
        <v>47.61</v>
      </c>
      <c r="N154" s="165">
        <f t="shared" si="300"/>
        <v>3.5978200000000005</v>
      </c>
      <c r="O154" s="166">
        <f t="shared" si="301"/>
        <v>2.8538639999999997</v>
      </c>
      <c r="P154" s="167">
        <f t="shared" si="287"/>
        <v>6.45</v>
      </c>
      <c r="Q154" s="168">
        <f t="shared" si="288"/>
        <v>32.380380000000002</v>
      </c>
      <c r="R154" s="169">
        <f t="shared" si="289"/>
        <v>25.684775999999999</v>
      </c>
      <c r="S154" s="169">
        <f t="shared" si="290"/>
        <v>58.06</v>
      </c>
      <c r="T154" s="416">
        <f t="shared" si="312"/>
        <v>5.173425040474968E-5</v>
      </c>
    </row>
    <row r="155" spans="2:20" ht="24.95" customHeight="1" x14ac:dyDescent="0.25">
      <c r="B155" s="162"/>
      <c r="C155" s="160"/>
      <c r="D155" s="171"/>
      <c r="E155" s="163"/>
      <c r="F155" s="160"/>
      <c r="G155" s="427"/>
      <c r="H155" s="165"/>
      <c r="I155" s="166"/>
      <c r="J155" s="167"/>
      <c r="K155" s="168"/>
      <c r="L155" s="168"/>
      <c r="M155" s="428"/>
      <c r="N155" s="165"/>
      <c r="O155" s="166"/>
      <c r="P155" s="167"/>
      <c r="Q155" s="168"/>
      <c r="R155" s="168"/>
      <c r="S155" s="168"/>
      <c r="T155" s="416"/>
    </row>
    <row r="156" spans="2:20" ht="24.95" customHeight="1" x14ac:dyDescent="0.25">
      <c r="B156" s="341" t="s">
        <v>1015</v>
      </c>
      <c r="C156" s="362"/>
      <c r="D156" s="363"/>
      <c r="E156" s="343" t="s">
        <v>1198</v>
      </c>
      <c r="F156" s="342"/>
      <c r="G156" s="361"/>
      <c r="H156" s="350"/>
      <c r="I156" s="351"/>
      <c r="J156" s="352">
        <f t="shared" si="285"/>
        <v>0</v>
      </c>
      <c r="K156" s="348">
        <f>SUM(K157:K168)</f>
        <v>4668.51</v>
      </c>
      <c r="L156" s="348">
        <f>SUM(L157:L168)</f>
        <v>29693.670000000002</v>
      </c>
      <c r="M156" s="348">
        <f>SUM(M157:M168)</f>
        <v>34362.18</v>
      </c>
      <c r="N156" s="350">
        <f t="shared" si="300"/>
        <v>0</v>
      </c>
      <c r="O156" s="351">
        <f t="shared" si="301"/>
        <v>0</v>
      </c>
      <c r="P156" s="352">
        <f t="shared" si="287"/>
        <v>0</v>
      </c>
      <c r="Q156" s="348">
        <f>SUM(Q157:Q168)</f>
        <v>5693.7147960000002</v>
      </c>
      <c r="R156" s="348">
        <f>SUM(R157:R168)</f>
        <v>36214.399932</v>
      </c>
      <c r="S156" s="348">
        <f>SUM(S157:S168)</f>
        <v>41908.070000000007</v>
      </c>
      <c r="T156" s="349">
        <f t="shared" ref="T156:T185" si="327">+S156/$S$201</f>
        <v>3.7342104501546299E-2</v>
      </c>
    </row>
    <row r="157" spans="2:20" ht="24.95" customHeight="1" x14ac:dyDescent="0.25">
      <c r="B157" s="162" t="s">
        <v>1390</v>
      </c>
      <c r="C157" s="160" t="s">
        <v>755</v>
      </c>
      <c r="D157" s="171" t="s">
        <v>212</v>
      </c>
      <c r="E157" s="163" t="s">
        <v>756</v>
      </c>
      <c r="F157" s="160" t="s">
        <v>22</v>
      </c>
      <c r="G157" s="164">
        <v>1</v>
      </c>
      <c r="H157" s="165">
        <v>42.01</v>
      </c>
      <c r="I157" s="166">
        <v>2993.06</v>
      </c>
      <c r="J157" s="167">
        <f t="shared" si="285"/>
        <v>3035.07</v>
      </c>
      <c r="K157" s="168">
        <f t="shared" si="298"/>
        <v>42.01</v>
      </c>
      <c r="L157" s="169">
        <f t="shared" si="299"/>
        <v>2993.06</v>
      </c>
      <c r="M157" s="170">
        <f t="shared" si="286"/>
        <v>3035.07</v>
      </c>
      <c r="N157" s="165">
        <f t="shared" si="300"/>
        <v>51.235396000000001</v>
      </c>
      <c r="O157" s="166">
        <f t="shared" si="301"/>
        <v>3650.3359759999998</v>
      </c>
      <c r="P157" s="167">
        <f t="shared" si="287"/>
        <v>3701.57</v>
      </c>
      <c r="Q157" s="168">
        <f t="shared" si="288"/>
        <v>51.235396000000001</v>
      </c>
      <c r="R157" s="169">
        <f t="shared" si="289"/>
        <v>3650.3359759999998</v>
      </c>
      <c r="S157" s="169">
        <f t="shared" si="290"/>
        <v>3701.57</v>
      </c>
      <c r="T157" s="161">
        <f t="shared" si="327"/>
        <v>3.2982767700776654E-3</v>
      </c>
    </row>
    <row r="158" spans="2:20" ht="24.95" customHeight="1" x14ac:dyDescent="0.25">
      <c r="B158" s="162" t="s">
        <v>1391</v>
      </c>
      <c r="C158" s="160" t="s">
        <v>758</v>
      </c>
      <c r="D158" s="171" t="s">
        <v>212</v>
      </c>
      <c r="E158" s="163" t="s">
        <v>759</v>
      </c>
      <c r="F158" s="160" t="s">
        <v>22</v>
      </c>
      <c r="G158" s="164">
        <v>1</v>
      </c>
      <c r="H158" s="165">
        <v>75.459999999999994</v>
      </c>
      <c r="I158" s="166">
        <v>593.45000000000005</v>
      </c>
      <c r="J158" s="167">
        <f t="shared" si="285"/>
        <v>668.91</v>
      </c>
      <c r="K158" s="168">
        <f t="shared" si="298"/>
        <v>75.459999999999994</v>
      </c>
      <c r="L158" s="169">
        <f t="shared" si="299"/>
        <v>593.45000000000005</v>
      </c>
      <c r="M158" s="170">
        <f t="shared" si="286"/>
        <v>668.91</v>
      </c>
      <c r="N158" s="165">
        <f t="shared" si="300"/>
        <v>92.031015999999994</v>
      </c>
      <c r="O158" s="166">
        <f t="shared" si="301"/>
        <v>723.7716200000001</v>
      </c>
      <c r="P158" s="167">
        <f t="shared" si="287"/>
        <v>815.8</v>
      </c>
      <c r="Q158" s="168">
        <f t="shared" si="288"/>
        <v>92.031015999999994</v>
      </c>
      <c r="R158" s="169">
        <f t="shared" si="289"/>
        <v>723.7716200000001</v>
      </c>
      <c r="S158" s="169">
        <f t="shared" si="290"/>
        <v>815.8</v>
      </c>
      <c r="T158" s="161">
        <f t="shared" si="327"/>
        <v>7.2691700792619333E-4</v>
      </c>
    </row>
    <row r="159" spans="2:20" ht="24.95" customHeight="1" x14ac:dyDescent="0.25">
      <c r="B159" s="162" t="s">
        <v>1392</v>
      </c>
      <c r="C159" s="160" t="s">
        <v>757</v>
      </c>
      <c r="D159" s="171" t="s">
        <v>124</v>
      </c>
      <c r="E159" s="163" t="s">
        <v>550</v>
      </c>
      <c r="F159" s="160" t="s">
        <v>243</v>
      </c>
      <c r="G159" s="164">
        <v>1</v>
      </c>
      <c r="H159" s="165">
        <v>5.92</v>
      </c>
      <c r="I159" s="166">
        <v>516.27</v>
      </c>
      <c r="J159" s="167">
        <f t="shared" si="285"/>
        <v>522.19000000000005</v>
      </c>
      <c r="K159" s="168">
        <f t="shared" si="298"/>
        <v>5.92</v>
      </c>
      <c r="L159" s="169">
        <f t="shared" si="299"/>
        <v>516.27</v>
      </c>
      <c r="M159" s="170">
        <f t="shared" si="286"/>
        <v>522.19000000000005</v>
      </c>
      <c r="N159" s="165">
        <f t="shared" si="300"/>
        <v>7.2200319999999998</v>
      </c>
      <c r="O159" s="166">
        <f t="shared" si="301"/>
        <v>629.64289199999996</v>
      </c>
      <c r="P159" s="167">
        <f t="shared" si="287"/>
        <v>636.86</v>
      </c>
      <c r="Q159" s="168">
        <f t="shared" si="288"/>
        <v>7.2200319999999998</v>
      </c>
      <c r="R159" s="169">
        <f t="shared" si="289"/>
        <v>629.64289199999996</v>
      </c>
      <c r="S159" s="169">
        <f t="shared" si="290"/>
        <v>636.86</v>
      </c>
      <c r="T159" s="161">
        <f t="shared" si="327"/>
        <v>5.6747286794297071E-4</v>
      </c>
    </row>
    <row r="160" spans="2:20" ht="24.95" customHeight="1" x14ac:dyDescent="0.25">
      <c r="B160" s="162" t="s">
        <v>1393</v>
      </c>
      <c r="C160" s="160" t="s">
        <v>760</v>
      </c>
      <c r="D160" s="171" t="s">
        <v>212</v>
      </c>
      <c r="E160" s="163" t="s">
        <v>761</v>
      </c>
      <c r="F160" s="160" t="s">
        <v>22</v>
      </c>
      <c r="G160" s="164">
        <v>12</v>
      </c>
      <c r="H160" s="165">
        <v>2.5499999999999998</v>
      </c>
      <c r="I160" s="166">
        <v>64.91</v>
      </c>
      <c r="J160" s="167">
        <f t="shared" si="285"/>
        <v>67.459999999999994</v>
      </c>
      <c r="K160" s="168">
        <f t="shared" si="298"/>
        <v>30.599999999999998</v>
      </c>
      <c r="L160" s="169">
        <f t="shared" si="299"/>
        <v>778.92</v>
      </c>
      <c r="M160" s="170">
        <f t="shared" si="286"/>
        <v>809.52</v>
      </c>
      <c r="N160" s="165">
        <f t="shared" si="300"/>
        <v>3.1099799999999997</v>
      </c>
      <c r="O160" s="166">
        <f t="shared" si="301"/>
        <v>79.164236000000002</v>
      </c>
      <c r="P160" s="167">
        <f t="shared" si="287"/>
        <v>82.27</v>
      </c>
      <c r="Q160" s="168">
        <f t="shared" si="288"/>
        <v>37.319759999999995</v>
      </c>
      <c r="R160" s="169">
        <f t="shared" si="289"/>
        <v>949.97083199999997</v>
      </c>
      <c r="S160" s="169">
        <f t="shared" si="290"/>
        <v>987.29</v>
      </c>
      <c r="T160" s="161">
        <f t="shared" si="327"/>
        <v>8.7972283985713576E-4</v>
      </c>
    </row>
    <row r="161" spans="2:20" ht="24.95" customHeight="1" x14ac:dyDescent="0.25">
      <c r="B161" s="162" t="s">
        <v>1394</v>
      </c>
      <c r="C161" s="160" t="s">
        <v>762</v>
      </c>
      <c r="D161" s="171" t="s">
        <v>31</v>
      </c>
      <c r="E161" s="163" t="s">
        <v>763</v>
      </c>
      <c r="F161" s="160" t="s">
        <v>22</v>
      </c>
      <c r="G161" s="164">
        <v>12</v>
      </c>
      <c r="H161" s="165">
        <v>183.89</v>
      </c>
      <c r="I161" s="166">
        <v>716.38</v>
      </c>
      <c r="J161" s="167">
        <f t="shared" si="285"/>
        <v>900.27</v>
      </c>
      <c r="K161" s="168">
        <f t="shared" si="298"/>
        <v>2206.6799999999998</v>
      </c>
      <c r="L161" s="169">
        <f t="shared" si="299"/>
        <v>8596.56</v>
      </c>
      <c r="M161" s="170">
        <f t="shared" si="286"/>
        <v>10803.24</v>
      </c>
      <c r="N161" s="165">
        <f t="shared" si="300"/>
        <v>224.272244</v>
      </c>
      <c r="O161" s="166">
        <f t="shared" si="301"/>
        <v>873.697048</v>
      </c>
      <c r="P161" s="167">
        <f t="shared" si="287"/>
        <v>1097.96</v>
      </c>
      <c r="Q161" s="168">
        <f t="shared" si="288"/>
        <v>2691.266928</v>
      </c>
      <c r="R161" s="169">
        <f t="shared" si="289"/>
        <v>10484.364576</v>
      </c>
      <c r="S161" s="169">
        <f t="shared" si="290"/>
        <v>13175.63</v>
      </c>
      <c r="T161" s="161">
        <f t="shared" si="327"/>
        <v>1.1740119560115947E-2</v>
      </c>
    </row>
    <row r="162" spans="2:20" ht="24.95" customHeight="1" x14ac:dyDescent="0.25">
      <c r="B162" s="162" t="s">
        <v>1395</v>
      </c>
      <c r="C162" s="160" t="s">
        <v>764</v>
      </c>
      <c r="D162" s="171" t="s">
        <v>212</v>
      </c>
      <c r="E162" s="163" t="s">
        <v>765</v>
      </c>
      <c r="F162" s="160" t="s">
        <v>22</v>
      </c>
      <c r="G162" s="164">
        <v>1</v>
      </c>
      <c r="H162" s="165">
        <v>2.5499999999999998</v>
      </c>
      <c r="I162" s="166">
        <v>96.64</v>
      </c>
      <c r="J162" s="167">
        <f t="shared" si="285"/>
        <v>99.19</v>
      </c>
      <c r="K162" s="168">
        <f t="shared" si="298"/>
        <v>2.5499999999999998</v>
      </c>
      <c r="L162" s="169">
        <f t="shared" si="299"/>
        <v>96.64</v>
      </c>
      <c r="M162" s="170">
        <f t="shared" si="286"/>
        <v>99.19</v>
      </c>
      <c r="N162" s="165">
        <f t="shared" si="300"/>
        <v>3.1099799999999997</v>
      </c>
      <c r="O162" s="166">
        <f t="shared" si="301"/>
        <v>117.862144</v>
      </c>
      <c r="P162" s="167">
        <f t="shared" si="287"/>
        <v>120.97</v>
      </c>
      <c r="Q162" s="168">
        <f t="shared" si="288"/>
        <v>3.1099799999999997</v>
      </c>
      <c r="R162" s="169">
        <f t="shared" si="289"/>
        <v>117.862144</v>
      </c>
      <c r="S162" s="169">
        <f t="shared" si="290"/>
        <v>120.97</v>
      </c>
      <c r="T162" s="161">
        <f t="shared" si="327"/>
        <v>1.0779008390393676E-4</v>
      </c>
    </row>
    <row r="163" spans="2:20" ht="24.95" customHeight="1" x14ac:dyDescent="0.25">
      <c r="B163" s="162" t="s">
        <v>1396</v>
      </c>
      <c r="C163" s="160" t="s">
        <v>1021</v>
      </c>
      <c r="D163" s="171" t="s">
        <v>212</v>
      </c>
      <c r="E163" s="163" t="s">
        <v>1022</v>
      </c>
      <c r="F163" s="160" t="s">
        <v>22</v>
      </c>
      <c r="G163" s="164">
        <v>3</v>
      </c>
      <c r="H163" s="398">
        <v>61.15</v>
      </c>
      <c r="I163" s="166">
        <v>1073.4000000000001</v>
      </c>
      <c r="J163" s="167">
        <f t="shared" ref="J163" si="328">TRUNC(SUM(H163:I163),2)</f>
        <v>1134.55</v>
      </c>
      <c r="K163" s="168">
        <f t="shared" ref="K163" si="329">+H163*G163</f>
        <v>183.45</v>
      </c>
      <c r="L163" s="169">
        <f t="shared" ref="L163" si="330">+I163*G163</f>
        <v>3220.2000000000003</v>
      </c>
      <c r="M163" s="170">
        <f t="shared" ref="M163" si="331">TRUNC(SUM(K163:L163),2)</f>
        <v>3403.65</v>
      </c>
      <c r="N163" s="165">
        <f t="shared" ref="N163" si="332">+H163*(1+$T$10)</f>
        <v>74.578540000000004</v>
      </c>
      <c r="O163" s="166">
        <f t="shared" ref="O163" si="333">+I163*(1+$T$10)</f>
        <v>1309.1186400000001</v>
      </c>
      <c r="P163" s="167">
        <f t="shared" ref="P163" si="334">TRUNC(SUM(N163:O163),2)</f>
        <v>1383.69</v>
      </c>
      <c r="Q163" s="168">
        <f t="shared" ref="Q163" si="335">+N163*G163</f>
        <v>223.73562000000001</v>
      </c>
      <c r="R163" s="169">
        <f t="shared" ref="R163" si="336">+O163*G163</f>
        <v>3927.3559200000004</v>
      </c>
      <c r="S163" s="169">
        <f t="shared" ref="S163" si="337">TRUNC(SUM(Q163:R163),2)</f>
        <v>4151.09</v>
      </c>
      <c r="T163" s="161">
        <f t="shared" si="327"/>
        <v>3.6988206943274599E-3</v>
      </c>
    </row>
    <row r="164" spans="2:20" ht="24.95" customHeight="1" x14ac:dyDescent="0.25">
      <c r="B164" s="162" t="s">
        <v>1397</v>
      </c>
      <c r="C164" s="160" t="s">
        <v>1023</v>
      </c>
      <c r="D164" s="171" t="s">
        <v>124</v>
      </c>
      <c r="E164" s="163" t="s">
        <v>1024</v>
      </c>
      <c r="F164" s="160" t="s">
        <v>22</v>
      </c>
      <c r="G164" s="164">
        <v>1</v>
      </c>
      <c r="H164" s="165">
        <v>2.95</v>
      </c>
      <c r="I164" s="166">
        <v>111.38</v>
      </c>
      <c r="J164" s="167">
        <f t="shared" si="285"/>
        <v>114.33</v>
      </c>
      <c r="K164" s="168">
        <f t="shared" si="298"/>
        <v>2.95</v>
      </c>
      <c r="L164" s="169">
        <f t="shared" si="299"/>
        <v>111.38</v>
      </c>
      <c r="M164" s="170">
        <f t="shared" si="286"/>
        <v>114.33</v>
      </c>
      <c r="N164" s="165">
        <f t="shared" si="300"/>
        <v>3.5978200000000005</v>
      </c>
      <c r="O164" s="166">
        <f t="shared" si="301"/>
        <v>135.83904799999999</v>
      </c>
      <c r="P164" s="167">
        <f t="shared" si="287"/>
        <v>139.43</v>
      </c>
      <c r="Q164" s="168">
        <f t="shared" si="288"/>
        <v>3.5978200000000005</v>
      </c>
      <c r="R164" s="169">
        <f t="shared" si="289"/>
        <v>135.83904799999999</v>
      </c>
      <c r="S164" s="169">
        <f t="shared" si="290"/>
        <v>139.43</v>
      </c>
      <c r="T164" s="161">
        <f t="shared" si="327"/>
        <v>1.2423883110462017E-4</v>
      </c>
    </row>
    <row r="165" spans="2:20" ht="24.95" customHeight="1" x14ac:dyDescent="0.25">
      <c r="B165" s="162" t="s">
        <v>1398</v>
      </c>
      <c r="C165" s="160" t="s">
        <v>1025</v>
      </c>
      <c r="D165" s="171" t="s">
        <v>874</v>
      </c>
      <c r="E165" s="163" t="s">
        <v>1026</v>
      </c>
      <c r="F165" s="160" t="s">
        <v>824</v>
      </c>
      <c r="G165" s="164">
        <v>288</v>
      </c>
      <c r="H165" s="165">
        <v>4</v>
      </c>
      <c r="I165" s="166">
        <v>22.12</v>
      </c>
      <c r="J165" s="167">
        <f t="shared" si="285"/>
        <v>26.12</v>
      </c>
      <c r="K165" s="168">
        <f t="shared" si="298"/>
        <v>1152</v>
      </c>
      <c r="L165" s="169">
        <f t="shared" si="299"/>
        <v>6370.56</v>
      </c>
      <c r="M165" s="170">
        <f t="shared" si="286"/>
        <v>7522.56</v>
      </c>
      <c r="N165" s="165">
        <f t="shared" si="300"/>
        <v>4.8784000000000001</v>
      </c>
      <c r="O165" s="166">
        <f t="shared" si="301"/>
        <v>26.977552000000003</v>
      </c>
      <c r="P165" s="167">
        <f t="shared" si="287"/>
        <v>31.85</v>
      </c>
      <c r="Q165" s="168">
        <f t="shared" si="288"/>
        <v>1404.9792</v>
      </c>
      <c r="R165" s="169">
        <f t="shared" si="289"/>
        <v>7769.5349760000008</v>
      </c>
      <c r="S165" s="169">
        <f t="shared" si="290"/>
        <v>9174.51</v>
      </c>
      <c r="T165" s="161">
        <f t="shared" si="327"/>
        <v>8.1749293434529788E-3</v>
      </c>
    </row>
    <row r="166" spans="2:20" ht="24.95" customHeight="1" x14ac:dyDescent="0.25">
      <c r="B166" s="162" t="s">
        <v>1399</v>
      </c>
      <c r="C166" s="160" t="s">
        <v>1027</v>
      </c>
      <c r="D166" s="171" t="s">
        <v>264</v>
      </c>
      <c r="E166" s="163" t="s">
        <v>1028</v>
      </c>
      <c r="F166" s="160" t="s">
        <v>22</v>
      </c>
      <c r="G166" s="164">
        <v>144</v>
      </c>
      <c r="H166" s="165">
        <v>6.29</v>
      </c>
      <c r="I166" s="166">
        <v>36.89</v>
      </c>
      <c r="J166" s="167">
        <f t="shared" si="285"/>
        <v>43.18</v>
      </c>
      <c r="K166" s="168">
        <f t="shared" si="298"/>
        <v>905.76</v>
      </c>
      <c r="L166" s="169">
        <f t="shared" si="299"/>
        <v>5312.16</v>
      </c>
      <c r="M166" s="170">
        <f t="shared" si="286"/>
        <v>6217.92</v>
      </c>
      <c r="N166" s="165">
        <f t="shared" si="300"/>
        <v>7.671284</v>
      </c>
      <c r="O166" s="166">
        <f t="shared" si="301"/>
        <v>44.991044000000002</v>
      </c>
      <c r="P166" s="167">
        <f t="shared" si="287"/>
        <v>52.66</v>
      </c>
      <c r="Q166" s="168">
        <f t="shared" si="288"/>
        <v>1104.664896</v>
      </c>
      <c r="R166" s="169">
        <f t="shared" si="289"/>
        <v>6478.7103360000001</v>
      </c>
      <c r="S166" s="169">
        <f t="shared" si="290"/>
        <v>7583.37</v>
      </c>
      <c r="T166" s="161">
        <f t="shared" si="327"/>
        <v>6.7571471321368672E-3</v>
      </c>
    </row>
    <row r="167" spans="2:20" ht="24.95" customHeight="1" x14ac:dyDescent="0.25">
      <c r="B167" s="162" t="s">
        <v>1400</v>
      </c>
      <c r="C167" s="160" t="s">
        <v>1261</v>
      </c>
      <c r="D167" s="171" t="s">
        <v>124</v>
      </c>
      <c r="E167" s="163" t="s">
        <v>1262</v>
      </c>
      <c r="F167" s="160" t="s">
        <v>22</v>
      </c>
      <c r="G167" s="164">
        <v>15</v>
      </c>
      <c r="H167" s="165">
        <v>2.95</v>
      </c>
      <c r="I167" s="166">
        <v>7.15</v>
      </c>
      <c r="J167" s="167">
        <f t="shared" ref="J167" si="338">TRUNC(SUM(H167:I167),2)</f>
        <v>10.1</v>
      </c>
      <c r="K167" s="168">
        <f t="shared" ref="K167" si="339">+H167*G167</f>
        <v>44.25</v>
      </c>
      <c r="L167" s="169">
        <f t="shared" ref="L167" si="340">+I167*G167</f>
        <v>107.25</v>
      </c>
      <c r="M167" s="170">
        <f t="shared" ref="M167" si="341">TRUNC(SUM(K167:L167),2)</f>
        <v>151.5</v>
      </c>
      <c r="N167" s="165">
        <f t="shared" ref="N167" si="342">+H167*(1+$T$10)</f>
        <v>3.5978200000000005</v>
      </c>
      <c r="O167" s="166">
        <f t="shared" ref="O167" si="343">+I167*(1+$T$10)</f>
        <v>8.7201400000000007</v>
      </c>
      <c r="P167" s="167">
        <f t="shared" ref="P167" si="344">TRUNC(SUM(N167:O167),2)</f>
        <v>12.31</v>
      </c>
      <c r="Q167" s="168">
        <f t="shared" ref="Q167" si="345">+N167*G167</f>
        <v>53.967300000000009</v>
      </c>
      <c r="R167" s="169">
        <f t="shared" ref="R167" si="346">+O167*G167</f>
        <v>130.8021</v>
      </c>
      <c r="S167" s="169">
        <f t="shared" ref="S167" si="347">TRUNC(SUM(Q167:R167),2)</f>
        <v>184.76</v>
      </c>
      <c r="T167" s="161">
        <f t="shared" si="327"/>
        <v>1.6463003969654754E-4</v>
      </c>
    </row>
    <row r="168" spans="2:20" ht="24.95" customHeight="1" x14ac:dyDescent="0.25">
      <c r="B168" s="162" t="s">
        <v>1401</v>
      </c>
      <c r="C168" s="160" t="s">
        <v>1266</v>
      </c>
      <c r="D168" s="160" t="s">
        <v>124</v>
      </c>
      <c r="E168" s="210" t="s">
        <v>1267</v>
      </c>
      <c r="F168" s="203" t="s">
        <v>22</v>
      </c>
      <c r="G168" s="204">
        <v>1</v>
      </c>
      <c r="H168" s="396">
        <v>16.88</v>
      </c>
      <c r="I168" s="397">
        <v>997.22</v>
      </c>
      <c r="J168" s="167">
        <f t="shared" ref="J168" si="348">TRUNC(SUM(H168:I168),2)</f>
        <v>1014.1</v>
      </c>
      <c r="K168" s="168">
        <f t="shared" ref="K168" si="349">+H168*G168</f>
        <v>16.88</v>
      </c>
      <c r="L168" s="169">
        <f t="shared" ref="L168" si="350">+I168*G168</f>
        <v>997.22</v>
      </c>
      <c r="M168" s="170">
        <f t="shared" ref="M168" si="351">TRUNC(SUM(K168:L168),2)</f>
        <v>1014.1</v>
      </c>
      <c r="N168" s="165">
        <f t="shared" ref="N168" si="352">+H168*(1+$T$10)</f>
        <v>20.586848</v>
      </c>
      <c r="O168" s="166">
        <f t="shared" ref="O168" si="353">+I168*(1+$T$10)</f>
        <v>1216.2095120000001</v>
      </c>
      <c r="P168" s="167">
        <f t="shared" ref="P168" si="354">TRUNC(SUM(N168:O168),2)</f>
        <v>1236.79</v>
      </c>
      <c r="Q168" s="168">
        <f t="shared" ref="Q168" si="355">+N168*G168</f>
        <v>20.586848</v>
      </c>
      <c r="R168" s="169">
        <f t="shared" ref="R168" si="356">+O168*G168</f>
        <v>1216.2095120000001</v>
      </c>
      <c r="S168" s="169">
        <f t="shared" ref="S168" si="357">TRUNC(SUM(Q168:R168),2)</f>
        <v>1236.79</v>
      </c>
      <c r="T168" s="161">
        <f t="shared" si="327"/>
        <v>1.1020393310039675E-3</v>
      </c>
    </row>
    <row r="169" spans="2:20" ht="24.95" customHeight="1" x14ac:dyDescent="0.25">
      <c r="B169" s="341" t="s">
        <v>1402</v>
      </c>
      <c r="C169" s="362"/>
      <c r="D169" s="363"/>
      <c r="E169" s="343" t="s">
        <v>1199</v>
      </c>
      <c r="F169" s="342"/>
      <c r="G169" s="361"/>
      <c r="H169" s="350"/>
      <c r="I169" s="351"/>
      <c r="J169" s="352">
        <f t="shared" ref="J169:J170" si="358">TRUNC(SUM(H169:I169),2)</f>
        <v>0</v>
      </c>
      <c r="K169" s="348">
        <f>SUM(K170:K181)</f>
        <v>14156.449999999999</v>
      </c>
      <c r="L169" s="348">
        <f>SUM(L170:L181)</f>
        <v>98740.45</v>
      </c>
      <c r="M169" s="348">
        <f>SUM(M170:M181)</f>
        <v>112896.90000000002</v>
      </c>
      <c r="N169" s="350">
        <f t="shared" ref="N169:N170" si="359">+H169*(1+$T$10)</f>
        <v>0</v>
      </c>
      <c r="O169" s="351">
        <f t="shared" ref="O169:O170" si="360">+I169*(1+$T$10)</f>
        <v>0</v>
      </c>
      <c r="P169" s="352">
        <f t="shared" ref="P169:P170" si="361">TRUNC(SUM(N169:O169),2)</f>
        <v>0</v>
      </c>
      <c r="Q169" s="348">
        <f>SUM(Q170:Q181)</f>
        <v>17265.206419999999</v>
      </c>
      <c r="R169" s="348">
        <f>SUM(R170:R181)</f>
        <v>120423.85282</v>
      </c>
      <c r="S169" s="348">
        <f>SUM(S170:S181)</f>
        <v>137689</v>
      </c>
      <c r="T169" s="349">
        <f t="shared" si="327"/>
        <v>0.12268751643092625</v>
      </c>
    </row>
    <row r="170" spans="2:20" ht="24.95" customHeight="1" x14ac:dyDescent="0.25">
      <c r="B170" s="205" t="s">
        <v>1404</v>
      </c>
      <c r="C170" s="160">
        <v>59637</v>
      </c>
      <c r="D170" s="160" t="s">
        <v>212</v>
      </c>
      <c r="E170" s="210" t="s">
        <v>1034</v>
      </c>
      <c r="F170" s="203" t="s">
        <v>22</v>
      </c>
      <c r="G170" s="414">
        <v>5</v>
      </c>
      <c r="H170" s="205">
        <v>42.01</v>
      </c>
      <c r="I170" s="203">
        <v>1591.16</v>
      </c>
      <c r="J170" s="167">
        <f t="shared" si="358"/>
        <v>1633.17</v>
      </c>
      <c r="K170" s="168">
        <f t="shared" ref="K170" si="362">+H170*G170</f>
        <v>210.04999999999998</v>
      </c>
      <c r="L170" s="169">
        <f t="shared" ref="L170" si="363">+I170*G170</f>
        <v>7955.8</v>
      </c>
      <c r="M170" s="415">
        <f t="shared" ref="M170" si="364">TRUNC(SUM(K170:L170),2)</f>
        <v>8165.85</v>
      </c>
      <c r="N170" s="165">
        <f t="shared" si="359"/>
        <v>51.235396000000001</v>
      </c>
      <c r="O170" s="166">
        <f t="shared" si="360"/>
        <v>1940.5787360000002</v>
      </c>
      <c r="P170" s="167">
        <f t="shared" si="361"/>
        <v>1991.81</v>
      </c>
      <c r="Q170" s="168">
        <f t="shared" ref="Q170" si="365">+N170*G170</f>
        <v>256.17698000000001</v>
      </c>
      <c r="R170" s="169">
        <f t="shared" ref="R170" si="366">+O170*G170</f>
        <v>9702.893680000001</v>
      </c>
      <c r="S170" s="169">
        <f t="shared" ref="S170" si="367">TRUNC(SUM(Q170:R170),2)</f>
        <v>9959.07</v>
      </c>
      <c r="T170" s="416">
        <f t="shared" si="327"/>
        <v>8.8740100099626313E-3</v>
      </c>
    </row>
    <row r="171" spans="2:20" ht="24.95" customHeight="1" x14ac:dyDescent="0.25">
      <c r="B171" s="205" t="s">
        <v>1405</v>
      </c>
      <c r="C171" s="160" t="s">
        <v>758</v>
      </c>
      <c r="D171" s="160" t="s">
        <v>212</v>
      </c>
      <c r="E171" s="210" t="s">
        <v>759</v>
      </c>
      <c r="F171" s="203" t="s">
        <v>22</v>
      </c>
      <c r="G171" s="414">
        <v>5</v>
      </c>
      <c r="H171" s="205">
        <v>75.459999999999994</v>
      </c>
      <c r="I171" s="203">
        <v>593.45000000000005</v>
      </c>
      <c r="J171" s="167">
        <f t="shared" ref="J171:J197" si="368">TRUNC(SUM(H171:I171),2)</f>
        <v>668.91</v>
      </c>
      <c r="K171" s="168">
        <f t="shared" ref="K171:K197" si="369">+H171*G171</f>
        <v>377.29999999999995</v>
      </c>
      <c r="L171" s="169">
        <f t="shared" ref="L171:L197" si="370">+I171*G171</f>
        <v>2967.25</v>
      </c>
      <c r="M171" s="415">
        <f t="shared" ref="M171:M197" si="371">TRUNC(SUM(K171:L171),2)</f>
        <v>3344.55</v>
      </c>
      <c r="N171" s="165">
        <f t="shared" ref="N171:N197" si="372">+H171*(1+$T$10)</f>
        <v>92.031015999999994</v>
      </c>
      <c r="O171" s="166">
        <f t="shared" ref="O171:O197" si="373">+I171*(1+$T$10)</f>
        <v>723.7716200000001</v>
      </c>
      <c r="P171" s="167">
        <f t="shared" ref="P171:P197" si="374">TRUNC(SUM(N171:O171),2)</f>
        <v>815.8</v>
      </c>
      <c r="Q171" s="168">
        <f t="shared" ref="Q171:Q197" si="375">+N171*G171</f>
        <v>460.15508</v>
      </c>
      <c r="R171" s="169">
        <f t="shared" ref="R171:R197" si="376">+O171*G171</f>
        <v>3618.8581000000004</v>
      </c>
      <c r="S171" s="169">
        <f t="shared" ref="S171:S197" si="377">TRUNC(SUM(Q171:R171),2)</f>
        <v>4079.01</v>
      </c>
      <c r="T171" s="416">
        <f t="shared" si="327"/>
        <v>3.6345939501115738E-3</v>
      </c>
    </row>
    <row r="172" spans="2:20" ht="24.95" customHeight="1" x14ac:dyDescent="0.25">
      <c r="B172" s="205" t="s">
        <v>1406</v>
      </c>
      <c r="C172" s="160" t="s">
        <v>757</v>
      </c>
      <c r="D172" s="160" t="s">
        <v>124</v>
      </c>
      <c r="E172" s="210" t="s">
        <v>550</v>
      </c>
      <c r="F172" s="203" t="s">
        <v>243</v>
      </c>
      <c r="G172" s="414">
        <v>5</v>
      </c>
      <c r="H172" s="205">
        <v>5.92</v>
      </c>
      <c r="I172" s="203">
        <v>516.27</v>
      </c>
      <c r="J172" s="167">
        <f t="shared" si="368"/>
        <v>522.19000000000005</v>
      </c>
      <c r="K172" s="168">
        <f t="shared" si="369"/>
        <v>29.6</v>
      </c>
      <c r="L172" s="169">
        <f t="shared" si="370"/>
        <v>2581.35</v>
      </c>
      <c r="M172" s="415">
        <f t="shared" si="371"/>
        <v>2610.9499999999998</v>
      </c>
      <c r="N172" s="165">
        <f t="shared" si="372"/>
        <v>7.2200319999999998</v>
      </c>
      <c r="O172" s="166">
        <f t="shared" si="373"/>
        <v>629.64289199999996</v>
      </c>
      <c r="P172" s="167">
        <f t="shared" si="374"/>
        <v>636.86</v>
      </c>
      <c r="Q172" s="168">
        <f t="shared" si="375"/>
        <v>36.100160000000002</v>
      </c>
      <c r="R172" s="169">
        <f t="shared" si="376"/>
        <v>3148.2144599999997</v>
      </c>
      <c r="S172" s="169">
        <f t="shared" si="377"/>
        <v>3184.31</v>
      </c>
      <c r="T172" s="416">
        <f t="shared" si="327"/>
        <v>2.8373732501954605E-3</v>
      </c>
    </row>
    <row r="173" spans="2:20" ht="24.95" customHeight="1" x14ac:dyDescent="0.25">
      <c r="B173" s="205" t="s">
        <v>1407</v>
      </c>
      <c r="C173" s="160" t="s">
        <v>760</v>
      </c>
      <c r="D173" s="160" t="s">
        <v>212</v>
      </c>
      <c r="E173" s="210" t="s">
        <v>761</v>
      </c>
      <c r="F173" s="203" t="s">
        <v>22</v>
      </c>
      <c r="G173" s="414">
        <v>40</v>
      </c>
      <c r="H173" s="205">
        <v>2.5499999999999998</v>
      </c>
      <c r="I173" s="203">
        <v>64.91</v>
      </c>
      <c r="J173" s="167">
        <f t="shared" si="368"/>
        <v>67.459999999999994</v>
      </c>
      <c r="K173" s="168">
        <f t="shared" si="369"/>
        <v>102</v>
      </c>
      <c r="L173" s="169">
        <f t="shared" si="370"/>
        <v>2596.3999999999996</v>
      </c>
      <c r="M173" s="415">
        <f t="shared" si="371"/>
        <v>2698.4</v>
      </c>
      <c r="N173" s="165">
        <f t="shared" si="372"/>
        <v>3.1099799999999997</v>
      </c>
      <c r="O173" s="166">
        <f t="shared" si="373"/>
        <v>79.164236000000002</v>
      </c>
      <c r="P173" s="167">
        <f t="shared" si="374"/>
        <v>82.27</v>
      </c>
      <c r="Q173" s="168">
        <f t="shared" si="375"/>
        <v>124.39919999999999</v>
      </c>
      <c r="R173" s="169">
        <f t="shared" si="376"/>
        <v>3166.5694400000002</v>
      </c>
      <c r="S173" s="169">
        <f t="shared" si="377"/>
        <v>3290.96</v>
      </c>
      <c r="T173" s="416">
        <f t="shared" si="327"/>
        <v>2.9324035258700481E-3</v>
      </c>
    </row>
    <row r="174" spans="2:20" ht="24.95" customHeight="1" x14ac:dyDescent="0.25">
      <c r="B174" s="205" t="s">
        <v>1408</v>
      </c>
      <c r="C174" s="160" t="s">
        <v>762</v>
      </c>
      <c r="D174" s="160" t="s">
        <v>31</v>
      </c>
      <c r="E174" s="210" t="s">
        <v>763</v>
      </c>
      <c r="F174" s="203" t="s">
        <v>22</v>
      </c>
      <c r="G174" s="414">
        <v>30</v>
      </c>
      <c r="H174" s="205">
        <v>183.89</v>
      </c>
      <c r="I174" s="203">
        <v>716.38</v>
      </c>
      <c r="J174" s="167">
        <f t="shared" si="368"/>
        <v>900.27</v>
      </c>
      <c r="K174" s="168">
        <f t="shared" si="369"/>
        <v>5516.7</v>
      </c>
      <c r="L174" s="169">
        <f t="shared" si="370"/>
        <v>21491.4</v>
      </c>
      <c r="M174" s="415">
        <f t="shared" si="371"/>
        <v>27008.1</v>
      </c>
      <c r="N174" s="165">
        <f t="shared" si="372"/>
        <v>224.272244</v>
      </c>
      <c r="O174" s="166">
        <f t="shared" si="373"/>
        <v>873.697048</v>
      </c>
      <c r="P174" s="167">
        <f t="shared" si="374"/>
        <v>1097.96</v>
      </c>
      <c r="Q174" s="168">
        <f t="shared" si="375"/>
        <v>6728.1673200000005</v>
      </c>
      <c r="R174" s="169">
        <f t="shared" si="376"/>
        <v>26210.91144</v>
      </c>
      <c r="S174" s="169">
        <f t="shared" si="377"/>
        <v>32939.07</v>
      </c>
      <c r="T174" s="416">
        <f t="shared" si="327"/>
        <v>2.9350294445049566E-2</v>
      </c>
    </row>
    <row r="175" spans="2:20" ht="24.95" customHeight="1" x14ac:dyDescent="0.25">
      <c r="B175" s="205" t="s">
        <v>1409</v>
      </c>
      <c r="C175" s="160" t="s">
        <v>764</v>
      </c>
      <c r="D175" s="160" t="s">
        <v>212</v>
      </c>
      <c r="E175" s="210" t="s">
        <v>765</v>
      </c>
      <c r="F175" s="203" t="s">
        <v>22</v>
      </c>
      <c r="G175" s="414">
        <v>5</v>
      </c>
      <c r="H175" s="205">
        <v>2.5499999999999998</v>
      </c>
      <c r="I175" s="203">
        <v>96.64</v>
      </c>
      <c r="J175" s="167">
        <f t="shared" si="368"/>
        <v>99.19</v>
      </c>
      <c r="K175" s="168">
        <f t="shared" si="369"/>
        <v>12.75</v>
      </c>
      <c r="L175" s="169">
        <f t="shared" si="370"/>
        <v>483.2</v>
      </c>
      <c r="M175" s="415">
        <f t="shared" si="371"/>
        <v>495.95</v>
      </c>
      <c r="N175" s="165">
        <f t="shared" si="372"/>
        <v>3.1099799999999997</v>
      </c>
      <c r="O175" s="166">
        <f t="shared" si="373"/>
        <v>117.862144</v>
      </c>
      <c r="P175" s="167">
        <f t="shared" si="374"/>
        <v>120.97</v>
      </c>
      <c r="Q175" s="168">
        <f t="shared" si="375"/>
        <v>15.549899999999999</v>
      </c>
      <c r="R175" s="169">
        <f t="shared" si="376"/>
        <v>589.31071999999995</v>
      </c>
      <c r="S175" s="169">
        <f t="shared" si="377"/>
        <v>604.86</v>
      </c>
      <c r="T175" s="416">
        <f t="shared" si="327"/>
        <v>5.3895933000029086E-4</v>
      </c>
    </row>
    <row r="176" spans="2:20" ht="24.95" customHeight="1" x14ac:dyDescent="0.25">
      <c r="B176" s="205" t="s">
        <v>1410</v>
      </c>
      <c r="C176" s="160" t="s">
        <v>1021</v>
      </c>
      <c r="D176" s="171" t="s">
        <v>212</v>
      </c>
      <c r="E176" s="163" t="s">
        <v>1022</v>
      </c>
      <c r="F176" s="160" t="s">
        <v>22</v>
      </c>
      <c r="G176" s="427">
        <v>15</v>
      </c>
      <c r="H176" s="417">
        <v>61.15</v>
      </c>
      <c r="I176" s="418">
        <v>1073.4000000000001</v>
      </c>
      <c r="J176" s="167">
        <f t="shared" ref="J176" si="378">TRUNC(SUM(H176:I176),2)</f>
        <v>1134.55</v>
      </c>
      <c r="K176" s="168">
        <f t="shared" ref="K176" si="379">+H176*G176</f>
        <v>917.25</v>
      </c>
      <c r="L176" s="169">
        <f t="shared" ref="L176" si="380">+I176*G176</f>
        <v>16101.000000000002</v>
      </c>
      <c r="M176" s="415">
        <f t="shared" ref="M176" si="381">TRUNC(SUM(K176:L176),2)</f>
        <v>17018.25</v>
      </c>
      <c r="N176" s="165">
        <f t="shared" ref="N176" si="382">+H176*(1+$T$10)</f>
        <v>74.578540000000004</v>
      </c>
      <c r="O176" s="166">
        <f t="shared" ref="O176" si="383">+I176*(1+$T$10)</f>
        <v>1309.1186400000001</v>
      </c>
      <c r="P176" s="167">
        <f t="shared" ref="P176" si="384">TRUNC(SUM(N176:O176),2)</f>
        <v>1383.69</v>
      </c>
      <c r="Q176" s="168">
        <f t="shared" ref="Q176" si="385">+N176*G176</f>
        <v>1118.6781000000001</v>
      </c>
      <c r="R176" s="169">
        <f t="shared" ref="R176" si="386">+O176*G176</f>
        <v>19636.779600000002</v>
      </c>
      <c r="S176" s="169">
        <f t="shared" ref="S176" si="387">TRUNC(SUM(Q176:R176),2)</f>
        <v>20755.45</v>
      </c>
      <c r="T176" s="416">
        <f t="shared" si="327"/>
        <v>1.84941034716373E-2</v>
      </c>
    </row>
    <row r="177" spans="2:20" ht="24.95" customHeight="1" x14ac:dyDescent="0.25">
      <c r="B177" s="205" t="s">
        <v>1411</v>
      </c>
      <c r="C177" s="160" t="s">
        <v>1023</v>
      </c>
      <c r="D177" s="160" t="s">
        <v>124</v>
      </c>
      <c r="E177" s="210" t="s">
        <v>1024</v>
      </c>
      <c r="F177" s="203" t="s">
        <v>22</v>
      </c>
      <c r="G177" s="414">
        <v>5</v>
      </c>
      <c r="H177" s="205">
        <v>2.95</v>
      </c>
      <c r="I177" s="203">
        <v>111.38</v>
      </c>
      <c r="J177" s="167">
        <f t="shared" si="368"/>
        <v>114.33</v>
      </c>
      <c r="K177" s="168">
        <f t="shared" si="369"/>
        <v>14.75</v>
      </c>
      <c r="L177" s="169">
        <f t="shared" si="370"/>
        <v>556.9</v>
      </c>
      <c r="M177" s="415">
        <f t="shared" si="371"/>
        <v>571.65</v>
      </c>
      <c r="N177" s="165">
        <f t="shared" si="372"/>
        <v>3.5978200000000005</v>
      </c>
      <c r="O177" s="166">
        <f t="shared" si="373"/>
        <v>135.83904799999999</v>
      </c>
      <c r="P177" s="167">
        <f t="shared" si="374"/>
        <v>139.43</v>
      </c>
      <c r="Q177" s="168">
        <f t="shared" si="375"/>
        <v>17.989100000000001</v>
      </c>
      <c r="R177" s="169">
        <f t="shared" si="376"/>
        <v>679.19524000000001</v>
      </c>
      <c r="S177" s="169">
        <f t="shared" si="377"/>
        <v>697.18</v>
      </c>
      <c r="T177" s="416">
        <f t="shared" si="327"/>
        <v>6.212208869649221E-4</v>
      </c>
    </row>
    <row r="178" spans="2:20" ht="24.95" customHeight="1" x14ac:dyDescent="0.25">
      <c r="B178" s="205" t="s">
        <v>1412</v>
      </c>
      <c r="C178" s="160" t="s">
        <v>1025</v>
      </c>
      <c r="D178" s="160" t="s">
        <v>874</v>
      </c>
      <c r="E178" s="210" t="s">
        <v>1026</v>
      </c>
      <c r="F178" s="203" t="s">
        <v>824</v>
      </c>
      <c r="G178" s="414">
        <v>960</v>
      </c>
      <c r="H178" s="205">
        <v>4</v>
      </c>
      <c r="I178" s="203">
        <v>22.12</v>
      </c>
      <c r="J178" s="167">
        <f t="shared" si="368"/>
        <v>26.12</v>
      </c>
      <c r="K178" s="168">
        <f t="shared" si="369"/>
        <v>3840</v>
      </c>
      <c r="L178" s="169">
        <f t="shared" si="370"/>
        <v>21235.200000000001</v>
      </c>
      <c r="M178" s="415">
        <f t="shared" si="371"/>
        <v>25075.200000000001</v>
      </c>
      <c r="N178" s="165">
        <f t="shared" si="372"/>
        <v>4.8784000000000001</v>
      </c>
      <c r="O178" s="166">
        <f t="shared" si="373"/>
        <v>26.977552000000003</v>
      </c>
      <c r="P178" s="167">
        <f t="shared" si="374"/>
        <v>31.85</v>
      </c>
      <c r="Q178" s="168">
        <f t="shared" si="375"/>
        <v>4683.2640000000001</v>
      </c>
      <c r="R178" s="169">
        <f t="shared" si="376"/>
        <v>25898.449920000003</v>
      </c>
      <c r="S178" s="169">
        <f t="shared" si="377"/>
        <v>30581.71</v>
      </c>
      <c r="T178" s="416">
        <f t="shared" si="327"/>
        <v>2.7249773388657202E-2</v>
      </c>
    </row>
    <row r="179" spans="2:20" ht="24.95" customHeight="1" x14ac:dyDescent="0.25">
      <c r="B179" s="205" t="s">
        <v>1413</v>
      </c>
      <c r="C179" s="160" t="s">
        <v>1027</v>
      </c>
      <c r="D179" s="160" t="s">
        <v>264</v>
      </c>
      <c r="E179" s="210" t="s">
        <v>1028</v>
      </c>
      <c r="F179" s="203" t="s">
        <v>22</v>
      </c>
      <c r="G179" s="414">
        <v>480</v>
      </c>
      <c r="H179" s="205">
        <v>6.29</v>
      </c>
      <c r="I179" s="203">
        <v>36.89</v>
      </c>
      <c r="J179" s="167">
        <f t="shared" si="368"/>
        <v>43.18</v>
      </c>
      <c r="K179" s="168">
        <f t="shared" si="369"/>
        <v>3019.2</v>
      </c>
      <c r="L179" s="169">
        <f t="shared" si="370"/>
        <v>17707.2</v>
      </c>
      <c r="M179" s="415">
        <f t="shared" si="371"/>
        <v>20726.400000000001</v>
      </c>
      <c r="N179" s="165">
        <f t="shared" si="372"/>
        <v>7.671284</v>
      </c>
      <c r="O179" s="166">
        <f t="shared" si="373"/>
        <v>44.991044000000002</v>
      </c>
      <c r="P179" s="167">
        <f t="shared" si="374"/>
        <v>52.66</v>
      </c>
      <c r="Q179" s="168">
        <f t="shared" si="375"/>
        <v>3682.21632</v>
      </c>
      <c r="R179" s="169">
        <f t="shared" si="376"/>
        <v>21595.701120000002</v>
      </c>
      <c r="S179" s="169">
        <f t="shared" si="377"/>
        <v>25277.91</v>
      </c>
      <c r="T179" s="416">
        <f t="shared" si="327"/>
        <v>2.2523832684270165E-2</v>
      </c>
    </row>
    <row r="180" spans="2:20" ht="36.75" customHeight="1" x14ac:dyDescent="0.25">
      <c r="B180" s="205" t="s">
        <v>1414</v>
      </c>
      <c r="C180" s="160" t="s">
        <v>1261</v>
      </c>
      <c r="D180" s="171" t="s">
        <v>124</v>
      </c>
      <c r="E180" s="163" t="s">
        <v>1262</v>
      </c>
      <c r="F180" s="160" t="s">
        <v>22</v>
      </c>
      <c r="G180" s="427">
        <v>11</v>
      </c>
      <c r="H180" s="417">
        <v>2.95</v>
      </c>
      <c r="I180" s="418">
        <v>7.15</v>
      </c>
      <c r="J180" s="167">
        <f t="shared" si="368"/>
        <v>10.1</v>
      </c>
      <c r="K180" s="168">
        <f t="shared" si="369"/>
        <v>32.450000000000003</v>
      </c>
      <c r="L180" s="169">
        <f t="shared" si="370"/>
        <v>78.650000000000006</v>
      </c>
      <c r="M180" s="415">
        <f t="shared" si="371"/>
        <v>111.1</v>
      </c>
      <c r="N180" s="165">
        <f t="shared" si="372"/>
        <v>3.5978200000000005</v>
      </c>
      <c r="O180" s="166">
        <f t="shared" si="373"/>
        <v>8.7201400000000007</v>
      </c>
      <c r="P180" s="167">
        <f t="shared" ref="P180" si="388">TRUNC(SUM(N180:O180),2)</f>
        <v>12.31</v>
      </c>
      <c r="Q180" s="168">
        <f t="shared" si="375"/>
        <v>39.576020000000007</v>
      </c>
      <c r="R180" s="169">
        <f t="shared" si="376"/>
        <v>95.921540000000007</v>
      </c>
      <c r="S180" s="169">
        <f t="shared" si="377"/>
        <v>135.49</v>
      </c>
      <c r="T180" s="416">
        <f t="shared" si="327"/>
        <v>1.2072810174542773E-4</v>
      </c>
    </row>
    <row r="181" spans="2:20" ht="36.75" customHeight="1" x14ac:dyDescent="0.25">
      <c r="B181" s="205" t="s">
        <v>1415</v>
      </c>
      <c r="C181" s="160" t="s">
        <v>1266</v>
      </c>
      <c r="D181" s="160" t="s">
        <v>124</v>
      </c>
      <c r="E181" s="210" t="s">
        <v>1267</v>
      </c>
      <c r="F181" s="203" t="s">
        <v>22</v>
      </c>
      <c r="G181" s="414">
        <v>5</v>
      </c>
      <c r="H181" s="205">
        <v>16.88</v>
      </c>
      <c r="I181" s="203">
        <v>997.22</v>
      </c>
      <c r="J181" s="167">
        <f t="shared" ref="J181" si="389">TRUNC(SUM(H181:I181),2)</f>
        <v>1014.1</v>
      </c>
      <c r="K181" s="168">
        <f t="shared" ref="K181" si="390">+H181*G181</f>
        <v>84.399999999999991</v>
      </c>
      <c r="L181" s="169">
        <f t="shared" ref="L181" si="391">+I181*G181</f>
        <v>4986.1000000000004</v>
      </c>
      <c r="M181" s="415">
        <f t="shared" ref="M181" si="392">TRUNC(SUM(K181:L181),2)</f>
        <v>5070.5</v>
      </c>
      <c r="N181" s="165">
        <f t="shared" ref="N181" si="393">+H181*(1+$T$10)</f>
        <v>20.586848</v>
      </c>
      <c r="O181" s="166">
        <f t="shared" ref="O181" si="394">+I181*(1+$T$10)</f>
        <v>1216.2095120000001</v>
      </c>
      <c r="P181" s="167">
        <f t="shared" ref="P181" si="395">TRUNC(SUM(N181:O181),2)</f>
        <v>1236.79</v>
      </c>
      <c r="Q181" s="168">
        <f t="shared" ref="Q181" si="396">+N181*G181</f>
        <v>102.93424</v>
      </c>
      <c r="R181" s="169">
        <f t="shared" ref="R181" si="397">+O181*G181</f>
        <v>6081.0475600000009</v>
      </c>
      <c r="S181" s="169">
        <f t="shared" ref="S181" si="398">TRUNC(SUM(Q181:R181),2)</f>
        <v>6183.98</v>
      </c>
      <c r="T181" s="416">
        <f t="shared" si="327"/>
        <v>5.5102233864616585E-3</v>
      </c>
    </row>
    <row r="182" spans="2:20" ht="24.95" customHeight="1" x14ac:dyDescent="0.25">
      <c r="B182" s="341" t="s">
        <v>1403</v>
      </c>
      <c r="C182" s="362"/>
      <c r="D182" s="363"/>
      <c r="E182" s="343" t="s">
        <v>1212</v>
      </c>
      <c r="F182" s="342"/>
      <c r="G182" s="361"/>
      <c r="H182" s="350"/>
      <c r="I182" s="351"/>
      <c r="J182" s="352">
        <f t="shared" si="368"/>
        <v>0</v>
      </c>
      <c r="K182" s="348">
        <f>SUM(K183:K192)</f>
        <v>3106.9099999999994</v>
      </c>
      <c r="L182" s="348">
        <f>SUM(L183:L192)</f>
        <v>16871.93</v>
      </c>
      <c r="M182" s="348">
        <f>SUM(M183:M192)</f>
        <v>19978.830000000002</v>
      </c>
      <c r="N182" s="350">
        <f t="shared" si="372"/>
        <v>0</v>
      </c>
      <c r="O182" s="351">
        <f t="shared" si="373"/>
        <v>0</v>
      </c>
      <c r="P182" s="352">
        <f t="shared" si="374"/>
        <v>0</v>
      </c>
      <c r="Q182" s="348">
        <f>SUM(Q183:Q192)</f>
        <v>3789.1874359999997</v>
      </c>
      <c r="R182" s="348">
        <f>SUM(R183:R192)</f>
        <v>20577.005828000001</v>
      </c>
      <c r="S182" s="348">
        <f>SUM(S183:S192)</f>
        <v>24366.14</v>
      </c>
      <c r="T182" s="349">
        <f t="shared" si="327"/>
        <v>2.1711401793957755E-2</v>
      </c>
    </row>
    <row r="183" spans="2:20" ht="24.95" customHeight="1" x14ac:dyDescent="0.25">
      <c r="B183" s="205" t="s">
        <v>1416</v>
      </c>
      <c r="C183" s="160" t="s">
        <v>841</v>
      </c>
      <c r="D183" s="171" t="s">
        <v>842</v>
      </c>
      <c r="E183" s="163" t="s">
        <v>843</v>
      </c>
      <c r="F183" s="160" t="s">
        <v>22</v>
      </c>
      <c r="G183" s="427">
        <v>53</v>
      </c>
      <c r="H183" s="398">
        <v>4.88</v>
      </c>
      <c r="I183" s="166">
        <v>5.29</v>
      </c>
      <c r="J183" s="167">
        <f t="shared" si="368"/>
        <v>10.17</v>
      </c>
      <c r="K183" s="168">
        <f t="shared" si="369"/>
        <v>258.64</v>
      </c>
      <c r="L183" s="169">
        <f t="shared" si="370"/>
        <v>280.37</v>
      </c>
      <c r="M183" s="415">
        <f t="shared" si="371"/>
        <v>539.01</v>
      </c>
      <c r="N183" s="165">
        <f t="shared" si="372"/>
        <v>5.9516479999999996</v>
      </c>
      <c r="O183" s="166">
        <f t="shared" si="373"/>
        <v>6.4516840000000002</v>
      </c>
      <c r="P183" s="167">
        <f t="shared" si="374"/>
        <v>12.4</v>
      </c>
      <c r="Q183" s="168">
        <f t="shared" si="375"/>
        <v>315.437344</v>
      </c>
      <c r="R183" s="169">
        <f t="shared" si="376"/>
        <v>341.93925200000001</v>
      </c>
      <c r="S183" s="169">
        <f t="shared" si="377"/>
        <v>657.37</v>
      </c>
      <c r="T183" s="416">
        <f t="shared" si="327"/>
        <v>5.8574826366810707E-4</v>
      </c>
    </row>
    <row r="184" spans="2:20" ht="24.95" customHeight="1" x14ac:dyDescent="0.25">
      <c r="B184" s="205" t="s">
        <v>1417</v>
      </c>
      <c r="C184" s="160" t="s">
        <v>1200</v>
      </c>
      <c r="D184" s="160" t="s">
        <v>842</v>
      </c>
      <c r="E184" s="210" t="s">
        <v>1201</v>
      </c>
      <c r="F184" s="203" t="s">
        <v>22</v>
      </c>
      <c r="G184" s="414">
        <v>2</v>
      </c>
      <c r="H184" s="396">
        <v>4.88</v>
      </c>
      <c r="I184" s="397">
        <v>113.48</v>
      </c>
      <c r="J184" s="167">
        <f t="shared" si="368"/>
        <v>118.36</v>
      </c>
      <c r="K184" s="168">
        <f t="shared" si="369"/>
        <v>9.76</v>
      </c>
      <c r="L184" s="169">
        <f t="shared" si="370"/>
        <v>226.96</v>
      </c>
      <c r="M184" s="415">
        <f t="shared" si="371"/>
        <v>236.72</v>
      </c>
      <c r="N184" s="165">
        <f t="shared" si="372"/>
        <v>5.9516479999999996</v>
      </c>
      <c r="O184" s="166">
        <f t="shared" si="373"/>
        <v>138.40020800000002</v>
      </c>
      <c r="P184" s="167">
        <f t="shared" si="374"/>
        <v>144.35</v>
      </c>
      <c r="Q184" s="168">
        <f t="shared" si="375"/>
        <v>11.903295999999999</v>
      </c>
      <c r="R184" s="169">
        <f t="shared" si="376"/>
        <v>276.80041600000004</v>
      </c>
      <c r="S184" s="169">
        <f t="shared" si="377"/>
        <v>288.7</v>
      </c>
      <c r="T184" s="416">
        <f t="shared" si="327"/>
        <v>2.5724557512661438E-4</v>
      </c>
    </row>
    <row r="185" spans="2:20" ht="24.95" customHeight="1" x14ac:dyDescent="0.25">
      <c r="B185" s="205" t="s">
        <v>1418</v>
      </c>
      <c r="C185" s="160">
        <v>59412</v>
      </c>
      <c r="D185" s="160" t="s">
        <v>212</v>
      </c>
      <c r="E185" s="210" t="s">
        <v>1203</v>
      </c>
      <c r="F185" s="203" t="s">
        <v>22</v>
      </c>
      <c r="G185" s="414">
        <v>6</v>
      </c>
      <c r="H185" s="396">
        <v>12.6</v>
      </c>
      <c r="I185" s="397">
        <v>89.95</v>
      </c>
      <c r="J185" s="167">
        <f t="shared" si="368"/>
        <v>102.55</v>
      </c>
      <c r="K185" s="168">
        <f t="shared" si="369"/>
        <v>75.599999999999994</v>
      </c>
      <c r="L185" s="169">
        <f t="shared" si="370"/>
        <v>539.70000000000005</v>
      </c>
      <c r="M185" s="415">
        <f t="shared" si="371"/>
        <v>615.29999999999995</v>
      </c>
      <c r="N185" s="165">
        <f t="shared" si="372"/>
        <v>15.366960000000001</v>
      </c>
      <c r="O185" s="166">
        <f t="shared" si="373"/>
        <v>109.70302000000001</v>
      </c>
      <c r="P185" s="167">
        <f t="shared" si="374"/>
        <v>125.06</v>
      </c>
      <c r="Q185" s="168">
        <f t="shared" si="375"/>
        <v>92.201760000000007</v>
      </c>
      <c r="R185" s="169">
        <f t="shared" si="376"/>
        <v>658.21812</v>
      </c>
      <c r="S185" s="169">
        <f t="shared" si="377"/>
        <v>750.41</v>
      </c>
      <c r="T185" s="416">
        <f t="shared" si="327"/>
        <v>6.686513752364485E-4</v>
      </c>
    </row>
    <row r="186" spans="2:20" ht="24.95" customHeight="1" x14ac:dyDescent="0.25">
      <c r="B186" s="205" t="s">
        <v>1419</v>
      </c>
      <c r="C186" s="160" t="s">
        <v>915</v>
      </c>
      <c r="D186" s="160" t="s">
        <v>124</v>
      </c>
      <c r="E186" s="210" t="s">
        <v>916</v>
      </c>
      <c r="F186" s="203" t="s">
        <v>35</v>
      </c>
      <c r="G186" s="204">
        <v>123.5</v>
      </c>
      <c r="H186" s="396">
        <v>14.53</v>
      </c>
      <c r="I186" s="397">
        <v>38.159999999999997</v>
      </c>
      <c r="J186" s="167">
        <f t="shared" si="368"/>
        <v>52.69</v>
      </c>
      <c r="K186" s="168">
        <f t="shared" si="369"/>
        <v>1794.4549999999999</v>
      </c>
      <c r="L186" s="169">
        <f t="shared" si="370"/>
        <v>4712.7599999999993</v>
      </c>
      <c r="M186" s="170">
        <f t="shared" si="371"/>
        <v>6507.21</v>
      </c>
      <c r="N186" s="165">
        <f t="shared" si="372"/>
        <v>17.720787999999999</v>
      </c>
      <c r="O186" s="166">
        <f t="shared" si="373"/>
        <v>46.539935999999997</v>
      </c>
      <c r="P186" s="167">
        <f t="shared" si="374"/>
        <v>64.260000000000005</v>
      </c>
      <c r="Q186" s="168">
        <f t="shared" si="375"/>
        <v>2188.5173179999997</v>
      </c>
      <c r="R186" s="169">
        <f t="shared" si="376"/>
        <v>5747.6820959999995</v>
      </c>
      <c r="S186" s="169">
        <f t="shared" si="377"/>
        <v>7936.19</v>
      </c>
      <c r="T186" s="161">
        <f t="shared" ref="T186:T197" si="399">+S186/$S$201</f>
        <v>7.0715267089161262E-3</v>
      </c>
    </row>
    <row r="187" spans="2:20" ht="24.95" customHeight="1" x14ac:dyDescent="0.25">
      <c r="B187" s="205" t="s">
        <v>1420</v>
      </c>
      <c r="C187" s="160" t="s">
        <v>918</v>
      </c>
      <c r="D187" s="171" t="s">
        <v>124</v>
      </c>
      <c r="E187" s="163" t="s">
        <v>919</v>
      </c>
      <c r="F187" s="160" t="s">
        <v>22</v>
      </c>
      <c r="G187" s="427">
        <v>110</v>
      </c>
      <c r="H187" s="165">
        <v>2.95</v>
      </c>
      <c r="I187" s="166">
        <v>39.01</v>
      </c>
      <c r="J187" s="167">
        <f t="shared" si="368"/>
        <v>41.96</v>
      </c>
      <c r="K187" s="168">
        <f t="shared" si="369"/>
        <v>324.5</v>
      </c>
      <c r="L187" s="169">
        <f t="shared" si="370"/>
        <v>4291.0999999999995</v>
      </c>
      <c r="M187" s="415">
        <f t="shared" si="371"/>
        <v>4615.6000000000004</v>
      </c>
      <c r="N187" s="165">
        <f t="shared" si="372"/>
        <v>3.5978200000000005</v>
      </c>
      <c r="O187" s="166">
        <f t="shared" si="373"/>
        <v>47.576595999999995</v>
      </c>
      <c r="P187" s="167">
        <f t="shared" si="374"/>
        <v>51.17</v>
      </c>
      <c r="Q187" s="168">
        <f t="shared" si="375"/>
        <v>395.76020000000005</v>
      </c>
      <c r="R187" s="169">
        <f t="shared" si="376"/>
        <v>5233.4255599999997</v>
      </c>
      <c r="S187" s="169">
        <f t="shared" si="377"/>
        <v>5629.18</v>
      </c>
      <c r="T187" s="416">
        <f t="shared" si="399"/>
        <v>5.0158699223804473E-3</v>
      </c>
    </row>
    <row r="188" spans="2:20" ht="24.95" customHeight="1" x14ac:dyDescent="0.25">
      <c r="B188" s="205" t="s">
        <v>1421</v>
      </c>
      <c r="C188" s="160" t="s">
        <v>1204</v>
      </c>
      <c r="D188" s="160" t="s">
        <v>124</v>
      </c>
      <c r="E188" s="210" t="s">
        <v>1205</v>
      </c>
      <c r="F188" s="203" t="s">
        <v>35</v>
      </c>
      <c r="G188" s="204">
        <v>3</v>
      </c>
      <c r="H188" s="396">
        <v>3.32</v>
      </c>
      <c r="I188" s="397">
        <v>26.57</v>
      </c>
      <c r="J188" s="167">
        <f t="shared" si="368"/>
        <v>29.89</v>
      </c>
      <c r="K188" s="168">
        <f t="shared" si="369"/>
        <v>9.9599999999999991</v>
      </c>
      <c r="L188" s="169">
        <f t="shared" si="370"/>
        <v>79.710000000000008</v>
      </c>
      <c r="M188" s="170">
        <f t="shared" si="371"/>
        <v>89.67</v>
      </c>
      <c r="N188" s="165">
        <f t="shared" si="372"/>
        <v>4.0490719999999998</v>
      </c>
      <c r="O188" s="166">
        <f t="shared" si="373"/>
        <v>32.404772000000001</v>
      </c>
      <c r="P188" s="167">
        <f t="shared" si="374"/>
        <v>36.450000000000003</v>
      </c>
      <c r="Q188" s="168">
        <f t="shared" si="375"/>
        <v>12.147216</v>
      </c>
      <c r="R188" s="169">
        <f t="shared" si="376"/>
        <v>97.214315999999997</v>
      </c>
      <c r="S188" s="169">
        <f t="shared" si="377"/>
        <v>109.36</v>
      </c>
      <c r="T188" s="161">
        <f t="shared" si="399"/>
        <v>9.7445015919108235E-5</v>
      </c>
    </row>
    <row r="189" spans="2:20" ht="24.95" customHeight="1" x14ac:dyDescent="0.25">
      <c r="B189" s="205" t="s">
        <v>1422</v>
      </c>
      <c r="C189" s="160" t="s">
        <v>748</v>
      </c>
      <c r="D189" s="171" t="s">
        <v>124</v>
      </c>
      <c r="E189" s="163" t="s">
        <v>493</v>
      </c>
      <c r="F189" s="160" t="s">
        <v>225</v>
      </c>
      <c r="G189" s="164">
        <v>116</v>
      </c>
      <c r="H189" s="398">
        <v>2.95</v>
      </c>
      <c r="I189" s="166">
        <v>3.07</v>
      </c>
      <c r="J189" s="167">
        <f t="shared" si="368"/>
        <v>6.02</v>
      </c>
      <c r="K189" s="168">
        <f t="shared" si="369"/>
        <v>342.20000000000005</v>
      </c>
      <c r="L189" s="169">
        <f t="shared" si="370"/>
        <v>356.12</v>
      </c>
      <c r="M189" s="170">
        <f t="shared" si="371"/>
        <v>698.32</v>
      </c>
      <c r="N189" s="165">
        <f t="shared" si="372"/>
        <v>3.5978200000000005</v>
      </c>
      <c r="O189" s="166">
        <f t="shared" si="373"/>
        <v>3.7441719999999998</v>
      </c>
      <c r="P189" s="167">
        <f t="shared" si="374"/>
        <v>7.34</v>
      </c>
      <c r="Q189" s="168">
        <f t="shared" si="375"/>
        <v>417.34712000000007</v>
      </c>
      <c r="R189" s="169">
        <f t="shared" si="376"/>
        <v>434.32395199999996</v>
      </c>
      <c r="S189" s="169">
        <f t="shared" si="377"/>
        <v>851.67</v>
      </c>
      <c r="T189" s="161">
        <f t="shared" si="399"/>
        <v>7.5887890186381599E-4</v>
      </c>
    </row>
    <row r="190" spans="2:20" ht="24.95" customHeight="1" x14ac:dyDescent="0.25">
      <c r="B190" s="205" t="s">
        <v>1423</v>
      </c>
      <c r="C190" s="160">
        <v>12525</v>
      </c>
      <c r="D190" s="160" t="s">
        <v>175</v>
      </c>
      <c r="E190" s="210" t="s">
        <v>1207</v>
      </c>
      <c r="F190" s="203" t="s">
        <v>225</v>
      </c>
      <c r="G190" s="204">
        <v>8</v>
      </c>
      <c r="H190" s="396">
        <v>1.39</v>
      </c>
      <c r="I190" s="397">
        <v>13.55</v>
      </c>
      <c r="J190" s="167">
        <f t="shared" si="368"/>
        <v>14.94</v>
      </c>
      <c r="K190" s="168">
        <f t="shared" si="369"/>
        <v>11.12</v>
      </c>
      <c r="L190" s="169">
        <f t="shared" si="370"/>
        <v>108.4</v>
      </c>
      <c r="M190" s="170">
        <f t="shared" si="371"/>
        <v>119.52</v>
      </c>
      <c r="N190" s="165">
        <f t="shared" si="372"/>
        <v>1.695244</v>
      </c>
      <c r="O190" s="166">
        <f t="shared" si="373"/>
        <v>16.525580000000001</v>
      </c>
      <c r="P190" s="167">
        <f t="shared" si="374"/>
        <v>18.22</v>
      </c>
      <c r="Q190" s="168">
        <f t="shared" si="375"/>
        <v>13.561952</v>
      </c>
      <c r="R190" s="169">
        <f t="shared" si="376"/>
        <v>132.20464000000001</v>
      </c>
      <c r="S190" s="169">
        <f t="shared" si="377"/>
        <v>145.76</v>
      </c>
      <c r="T190" s="161">
        <f t="shared" si="399"/>
        <v>1.2987916532890652E-4</v>
      </c>
    </row>
    <row r="191" spans="2:20" ht="24.95" customHeight="1" x14ac:dyDescent="0.25">
      <c r="B191" s="205" t="s">
        <v>1424</v>
      </c>
      <c r="C191" s="160" t="s">
        <v>1208</v>
      </c>
      <c r="D191" s="160" t="s">
        <v>264</v>
      </c>
      <c r="E191" s="210" t="s">
        <v>1209</v>
      </c>
      <c r="F191" s="203" t="s">
        <v>35</v>
      </c>
      <c r="G191" s="204">
        <v>123.5</v>
      </c>
      <c r="H191" s="396">
        <v>2.09</v>
      </c>
      <c r="I191" s="397">
        <v>50.58</v>
      </c>
      <c r="J191" s="167">
        <f t="shared" si="368"/>
        <v>52.67</v>
      </c>
      <c r="K191" s="168">
        <f t="shared" si="369"/>
        <v>258.11500000000001</v>
      </c>
      <c r="L191" s="169">
        <f t="shared" si="370"/>
        <v>6246.63</v>
      </c>
      <c r="M191" s="170">
        <f t="shared" si="371"/>
        <v>6504.74</v>
      </c>
      <c r="N191" s="165">
        <f t="shared" si="372"/>
        <v>2.5489639999999998</v>
      </c>
      <c r="O191" s="166">
        <f t="shared" si="373"/>
        <v>61.687367999999999</v>
      </c>
      <c r="P191" s="167">
        <f t="shared" si="374"/>
        <v>64.23</v>
      </c>
      <c r="Q191" s="168">
        <f t="shared" si="375"/>
        <v>314.79705399999995</v>
      </c>
      <c r="R191" s="169">
        <f t="shared" si="376"/>
        <v>7618.389948</v>
      </c>
      <c r="S191" s="169">
        <f t="shared" si="377"/>
        <v>7933.18</v>
      </c>
      <c r="T191" s="161">
        <f t="shared" si="399"/>
        <v>7.068844654253394E-3</v>
      </c>
    </row>
    <row r="192" spans="2:20" ht="24.95" customHeight="1" x14ac:dyDescent="0.25">
      <c r="B192" s="205" t="s">
        <v>1425</v>
      </c>
      <c r="C192" s="160" t="s">
        <v>1210</v>
      </c>
      <c r="D192" s="160" t="s">
        <v>842</v>
      </c>
      <c r="E192" s="210" t="s">
        <v>1211</v>
      </c>
      <c r="F192" s="203" t="s">
        <v>22</v>
      </c>
      <c r="G192" s="204">
        <v>6</v>
      </c>
      <c r="H192" s="396">
        <v>3.76</v>
      </c>
      <c r="I192" s="397">
        <v>5.03</v>
      </c>
      <c r="J192" s="167">
        <f t="shared" si="368"/>
        <v>8.7899999999999991</v>
      </c>
      <c r="K192" s="168">
        <f t="shared" si="369"/>
        <v>22.56</v>
      </c>
      <c r="L192" s="169">
        <f t="shared" si="370"/>
        <v>30.18</v>
      </c>
      <c r="M192" s="170">
        <f t="shared" si="371"/>
        <v>52.74</v>
      </c>
      <c r="N192" s="165">
        <f t="shared" si="372"/>
        <v>4.5856959999999996</v>
      </c>
      <c r="O192" s="166">
        <f t="shared" si="373"/>
        <v>6.1345880000000008</v>
      </c>
      <c r="P192" s="167">
        <f t="shared" si="374"/>
        <v>10.72</v>
      </c>
      <c r="Q192" s="168">
        <f t="shared" si="375"/>
        <v>27.514175999999999</v>
      </c>
      <c r="R192" s="169">
        <f t="shared" si="376"/>
        <v>36.807528000000005</v>
      </c>
      <c r="S192" s="169">
        <f t="shared" si="377"/>
        <v>64.319999999999993</v>
      </c>
      <c r="T192" s="161">
        <f t="shared" si="399"/>
        <v>5.7312211264786402E-5</v>
      </c>
    </row>
    <row r="193" spans="1:20" ht="24.95" customHeight="1" x14ac:dyDescent="0.25">
      <c r="B193" s="364" t="s">
        <v>1042</v>
      </c>
      <c r="C193" s="362"/>
      <c r="D193" s="363"/>
      <c r="E193" s="343" t="s">
        <v>28</v>
      </c>
      <c r="F193" s="342"/>
      <c r="G193" s="361"/>
      <c r="H193" s="350"/>
      <c r="I193" s="351"/>
      <c r="J193" s="352">
        <f t="shared" ref="J193" si="400">TRUNC(SUM(H193:I193),2)</f>
        <v>0</v>
      </c>
      <c r="K193" s="348">
        <f>SUM(K194)</f>
        <v>8820</v>
      </c>
      <c r="L193" s="348">
        <f t="shared" ref="L193:M193" si="401">SUM(L194)</f>
        <v>0</v>
      </c>
      <c r="M193" s="348">
        <f t="shared" si="401"/>
        <v>8820</v>
      </c>
      <c r="N193" s="350">
        <f t="shared" ref="N193" si="402">+H193*(1+$T$10)</f>
        <v>0</v>
      </c>
      <c r="O193" s="351">
        <f t="shared" ref="O193" si="403">+I193*(1+$T$10)</f>
        <v>0</v>
      </c>
      <c r="P193" s="352">
        <f t="shared" ref="P193" si="404">TRUNC(SUM(N193:O193),2)</f>
        <v>0</v>
      </c>
      <c r="Q193" s="348">
        <f>SUM(Q194)</f>
        <v>10756.871999999999</v>
      </c>
      <c r="R193" s="348">
        <f t="shared" ref="R193" si="405">SUM(R194)</f>
        <v>0</v>
      </c>
      <c r="S193" s="348">
        <f t="shared" ref="S193" si="406">SUM(S194)</f>
        <v>10756.87</v>
      </c>
      <c r="T193" s="349">
        <f t="shared" si="399"/>
        <v>9.5848881527960672E-3</v>
      </c>
    </row>
    <row r="194" spans="1:20" ht="24.95" customHeight="1" x14ac:dyDescent="0.25">
      <c r="B194" s="205" t="s">
        <v>1043</v>
      </c>
      <c r="C194" s="160" t="s">
        <v>766</v>
      </c>
      <c r="D194" s="160" t="s">
        <v>212</v>
      </c>
      <c r="E194" s="210" t="s">
        <v>767</v>
      </c>
      <c r="F194" s="203" t="s">
        <v>768</v>
      </c>
      <c r="G194" s="204">
        <v>420</v>
      </c>
      <c r="H194" s="205">
        <v>21</v>
      </c>
      <c r="I194" s="365">
        <v>0</v>
      </c>
      <c r="J194" s="167">
        <f t="shared" si="368"/>
        <v>21</v>
      </c>
      <c r="K194" s="168">
        <f t="shared" si="369"/>
        <v>8820</v>
      </c>
      <c r="L194" s="169">
        <f t="shared" si="370"/>
        <v>0</v>
      </c>
      <c r="M194" s="170">
        <f t="shared" si="371"/>
        <v>8820</v>
      </c>
      <c r="N194" s="165">
        <f t="shared" si="372"/>
        <v>25.611599999999999</v>
      </c>
      <c r="O194" s="166">
        <f t="shared" si="373"/>
        <v>0</v>
      </c>
      <c r="P194" s="167">
        <f t="shared" si="374"/>
        <v>25.61</v>
      </c>
      <c r="Q194" s="168">
        <f t="shared" si="375"/>
        <v>10756.871999999999</v>
      </c>
      <c r="R194" s="169">
        <f t="shared" si="376"/>
        <v>0</v>
      </c>
      <c r="S194" s="169">
        <f t="shared" si="377"/>
        <v>10756.87</v>
      </c>
      <c r="T194" s="161">
        <f t="shared" si="399"/>
        <v>9.5848881527960672E-3</v>
      </c>
    </row>
    <row r="195" spans="1:20" ht="24.95" customHeight="1" x14ac:dyDescent="0.25">
      <c r="B195" s="205"/>
      <c r="C195" s="160"/>
      <c r="D195" s="160"/>
      <c r="E195" s="210"/>
      <c r="F195" s="203"/>
      <c r="G195" s="204"/>
      <c r="H195" s="205"/>
      <c r="I195" s="203"/>
      <c r="J195" s="167">
        <f t="shared" si="368"/>
        <v>0</v>
      </c>
      <c r="K195" s="168">
        <f t="shared" si="369"/>
        <v>0</v>
      </c>
      <c r="L195" s="169">
        <f t="shared" si="370"/>
        <v>0</v>
      </c>
      <c r="M195" s="170">
        <f t="shared" si="371"/>
        <v>0</v>
      </c>
      <c r="N195" s="165">
        <f t="shared" si="372"/>
        <v>0</v>
      </c>
      <c r="O195" s="166">
        <f t="shared" si="373"/>
        <v>0</v>
      </c>
      <c r="P195" s="167">
        <f t="shared" si="374"/>
        <v>0</v>
      </c>
      <c r="Q195" s="168">
        <f t="shared" si="375"/>
        <v>0</v>
      </c>
      <c r="R195" s="169">
        <f t="shared" si="376"/>
        <v>0</v>
      </c>
      <c r="S195" s="169">
        <f t="shared" si="377"/>
        <v>0</v>
      </c>
      <c r="T195" s="161">
        <f t="shared" si="399"/>
        <v>0</v>
      </c>
    </row>
    <row r="196" spans="1:20" ht="24.95" customHeight="1" x14ac:dyDescent="0.25">
      <c r="B196" s="326">
        <v>13</v>
      </c>
      <c r="C196" s="356"/>
      <c r="D196" s="356"/>
      <c r="E196" s="328" t="s">
        <v>1046</v>
      </c>
      <c r="F196" s="339"/>
      <c r="G196" s="357"/>
      <c r="H196" s="338"/>
      <c r="I196" s="339"/>
      <c r="J196" s="340">
        <f t="shared" si="368"/>
        <v>0</v>
      </c>
      <c r="K196" s="337">
        <f>SUM(K197)</f>
        <v>4940.3588</v>
      </c>
      <c r="L196" s="337">
        <f t="shared" ref="L196:M196" si="407">SUM(L197)</f>
        <v>4216.3407000000007</v>
      </c>
      <c r="M196" s="337">
        <f t="shared" si="407"/>
        <v>9156.69</v>
      </c>
      <c r="N196" s="358">
        <f t="shared" si="372"/>
        <v>0</v>
      </c>
      <c r="O196" s="359">
        <f t="shared" si="373"/>
        <v>0</v>
      </c>
      <c r="P196" s="360">
        <f t="shared" si="374"/>
        <v>0</v>
      </c>
      <c r="Q196" s="337">
        <f>SUM(Q197)</f>
        <v>6025.2615924800002</v>
      </c>
      <c r="R196" s="337">
        <f t="shared" ref="R196" si="408">SUM(R197)</f>
        <v>5142.24911772</v>
      </c>
      <c r="S196" s="337">
        <f t="shared" ref="S196" si="409">SUM(S197)</f>
        <v>11167.51</v>
      </c>
      <c r="T196" s="333">
        <f t="shared" si="399"/>
        <v>9.9507881284455063E-3</v>
      </c>
    </row>
    <row r="197" spans="1:20" ht="24.95" customHeight="1" x14ac:dyDescent="0.25">
      <c r="B197" s="205" t="s">
        <v>1047</v>
      </c>
      <c r="C197" s="160">
        <v>2450</v>
      </c>
      <c r="D197" s="160" t="s">
        <v>175</v>
      </c>
      <c r="E197" s="210" t="s">
        <v>1351</v>
      </c>
      <c r="F197" s="203" t="s">
        <v>2</v>
      </c>
      <c r="G197" s="204">
        <v>4258.93</v>
      </c>
      <c r="H197" s="205">
        <v>1.1599999999999999</v>
      </c>
      <c r="I197" s="203">
        <v>0.99</v>
      </c>
      <c r="J197" s="167">
        <f t="shared" si="368"/>
        <v>2.15</v>
      </c>
      <c r="K197" s="168">
        <f t="shared" si="369"/>
        <v>4940.3588</v>
      </c>
      <c r="L197" s="169">
        <f t="shared" si="370"/>
        <v>4216.3407000000007</v>
      </c>
      <c r="M197" s="170">
        <f t="shared" si="371"/>
        <v>9156.69</v>
      </c>
      <c r="N197" s="165">
        <f t="shared" si="372"/>
        <v>1.414736</v>
      </c>
      <c r="O197" s="166">
        <f t="shared" si="373"/>
        <v>1.2074039999999999</v>
      </c>
      <c r="P197" s="167">
        <f t="shared" si="374"/>
        <v>2.62</v>
      </c>
      <c r="Q197" s="168">
        <f t="shared" si="375"/>
        <v>6025.2615924800002</v>
      </c>
      <c r="R197" s="169">
        <f t="shared" si="376"/>
        <v>5142.24911772</v>
      </c>
      <c r="S197" s="169">
        <f t="shared" si="377"/>
        <v>11167.51</v>
      </c>
      <c r="T197" s="161">
        <f t="shared" si="399"/>
        <v>9.9507881284455063E-3</v>
      </c>
    </row>
    <row r="198" spans="1:20" ht="24.95" customHeight="1" thickBot="1" x14ac:dyDescent="0.3">
      <c r="B198" s="211"/>
      <c r="C198" s="212"/>
      <c r="D198" s="212"/>
      <c r="E198" s="213"/>
      <c r="F198" s="214"/>
      <c r="G198" s="215"/>
      <c r="H198" s="211"/>
      <c r="I198" s="214"/>
      <c r="J198" s="172"/>
      <c r="K198" s="173"/>
      <c r="L198" s="174"/>
      <c r="M198" s="175"/>
      <c r="N198" s="211"/>
      <c r="O198" s="214"/>
      <c r="P198" s="172"/>
      <c r="Q198" s="173"/>
      <c r="R198" s="174"/>
      <c r="S198" s="174"/>
      <c r="T198" s="176"/>
    </row>
    <row r="199" spans="1:20" ht="13.5" thickBot="1" x14ac:dyDescent="0.3">
      <c r="B199" s="216"/>
      <c r="C199" s="217"/>
      <c r="D199" s="217"/>
      <c r="E199" s="218"/>
      <c r="F199" s="217"/>
      <c r="G199" s="219"/>
      <c r="H199" s="217"/>
      <c r="I199" s="217"/>
      <c r="J199" s="217"/>
      <c r="K199" s="217"/>
      <c r="L199" s="217"/>
      <c r="M199" s="219"/>
      <c r="N199" s="217"/>
      <c r="O199" s="217"/>
      <c r="P199" s="217"/>
      <c r="Q199" s="217"/>
      <c r="R199" s="217"/>
      <c r="S199" s="217"/>
    </row>
    <row r="200" spans="1:20" x14ac:dyDescent="0.25">
      <c r="B200" s="220"/>
      <c r="C200" s="192"/>
      <c r="D200" s="192"/>
      <c r="E200" s="220"/>
      <c r="F200" s="220"/>
      <c r="G200" s="221"/>
      <c r="H200" s="222"/>
      <c r="I200" s="223"/>
      <c r="J200" s="224"/>
      <c r="K200" s="225"/>
      <c r="L200" s="226"/>
      <c r="M200" s="227"/>
      <c r="N200" s="222"/>
      <c r="O200" s="223"/>
      <c r="P200" s="224"/>
      <c r="Q200" s="225"/>
      <c r="R200" s="226"/>
      <c r="S200" s="227"/>
    </row>
    <row r="201" spans="1:20" s="234" customFormat="1" x14ac:dyDescent="0.25">
      <c r="A201" s="228"/>
      <c r="B201" s="229"/>
      <c r="C201" s="229"/>
      <c r="D201" s="229"/>
      <c r="E201" s="229"/>
      <c r="F201" s="229"/>
      <c r="G201" s="229"/>
      <c r="H201" s="230"/>
      <c r="I201" s="231"/>
      <c r="J201" s="232" t="s">
        <v>142</v>
      </c>
      <c r="K201" s="233">
        <f>K15+K20+K28+K38+K41+K60+K63+K71+K81+K104+K116+K120+K196</f>
        <v>312256.61719999998</v>
      </c>
      <c r="L201" s="233">
        <f>L15+L20+L28+L38+L41+L60+L63+L71+L81+L104+L116+L120+L196</f>
        <v>607942.27634999994</v>
      </c>
      <c r="M201" s="233">
        <f>M15+M20+M28+M38+M41+M60+M63+M71+M81+M104+M116+M120+M196</f>
        <v>920198.78</v>
      </c>
      <c r="N201" s="230"/>
      <c r="O201" s="231"/>
      <c r="P201" s="232" t="s">
        <v>143</v>
      </c>
      <c r="Q201" s="233">
        <f>Q15+Q20+Q28+Q38+Q41+Q60+Q63+Q71+Q81+Q104+Q116+Q120+Q196</f>
        <v>380828.17033711995</v>
      </c>
      <c r="R201" s="233">
        <f>R15+R20+R28+R38+R41+R60+R63+R71+R81+R104+R116+R120+R196</f>
        <v>741446.40023646003</v>
      </c>
      <c r="S201" s="233">
        <f>S15+S20+S28+S38+S41+S60+S63+S71+S81+S104+S116+S120+S196</f>
        <v>1122273.92</v>
      </c>
    </row>
    <row r="202" spans="1:20" ht="6.95" customHeight="1" thickBot="1" x14ac:dyDescent="0.3">
      <c r="B202" s="209"/>
      <c r="C202" s="192"/>
      <c r="D202" s="192"/>
      <c r="E202" s="235"/>
      <c r="F202" s="209"/>
      <c r="G202" s="236"/>
      <c r="H202" s="237"/>
      <c r="I202" s="238"/>
      <c r="J202" s="239"/>
      <c r="K202" s="240"/>
      <c r="L202" s="241"/>
      <c r="M202" s="242"/>
      <c r="N202" s="237"/>
      <c r="O202" s="238"/>
      <c r="P202" s="239"/>
      <c r="Q202" s="240"/>
      <c r="R202" s="241"/>
      <c r="S202" s="242"/>
    </row>
    <row r="204" spans="1:20" x14ac:dyDescent="0.25">
      <c r="S204" s="243"/>
    </row>
    <row r="207" spans="1:20" x14ac:dyDescent="0.25">
      <c r="S207" s="244"/>
    </row>
  </sheetData>
  <mergeCells count="14">
    <mergeCell ref="D13:D14"/>
    <mergeCell ref="N13:P13"/>
    <mergeCell ref="Q13:R13"/>
    <mergeCell ref="K13:M13"/>
    <mergeCell ref="B1:T6"/>
    <mergeCell ref="T13:T14"/>
    <mergeCell ref="B13:B14"/>
    <mergeCell ref="E13:E14"/>
    <mergeCell ref="F13:F14"/>
    <mergeCell ref="G13:G14"/>
    <mergeCell ref="S13:S14"/>
    <mergeCell ref="H13:J13"/>
    <mergeCell ref="C13:C14"/>
    <mergeCell ref="C11:R11"/>
  </mergeCells>
  <phoneticPr fontId="63" type="noConversion"/>
  <printOptions horizontalCentered="1"/>
  <pageMargins left="0.39370078740157483" right="0.39370078740157483" top="0.39370078740157483" bottom="0.98425196850393704" header="0.31496062992125984" footer="0.31496062992125984"/>
  <pageSetup paperSize="9" scale="56" orientation="landscape" horizontalDpi="1200" verticalDpi="1200" r:id="rId1"/>
  <headerFooter>
    <oddFooter>&amp;L&amp;"Arial Narrow,Normal"&amp;10&amp;A
&amp;F&amp;C&amp;"Arial Narrow,Negrito"&amp;10ENG. CIVIL THIAGO ALVES SILVA&amp;"Arial Narrow,Normal"
CREA 1004804750/D-GO&amp;R&amp;"Arial Narrow,Normal"&amp;10Página &amp;P de &amp;N</oddFooter>
  </headerFooter>
  <ignoredErrors>
    <ignoredError sqref="J19 J16:J18" formulaRange="1"/>
    <ignoredError sqref="Q121 R121" formula="1"/>
  </ignoredErrors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3">
    <tabColor theme="6"/>
  </sheetPr>
  <dimension ref="A1:L1237"/>
  <sheetViews>
    <sheetView showGridLines="0" view="pageBreakPreview" zoomScaleNormal="100" zoomScaleSheetLayoutView="100" workbookViewId="0">
      <selection activeCell="C9" sqref="C9:H9"/>
    </sheetView>
  </sheetViews>
  <sheetFormatPr defaultColWidth="16" defaultRowHeight="12.75" x14ac:dyDescent="0.25"/>
  <cols>
    <col min="1" max="1" width="0.85546875" style="85" customWidth="1"/>
    <col min="2" max="2" width="9.42578125" style="22" customWidth="1"/>
    <col min="3" max="3" width="8.42578125" style="22" customWidth="1"/>
    <col min="4" max="4" width="7.42578125" style="22" customWidth="1"/>
    <col min="5" max="5" width="73.42578125" style="103" customWidth="1"/>
    <col min="6" max="6" width="6.5703125" style="22" customWidth="1"/>
    <col min="7" max="7" width="9.140625" style="22" bestFit="1" customWidth="1"/>
    <col min="8" max="8" width="5.5703125" style="85" customWidth="1"/>
    <col min="9" max="9" width="11.5703125" style="85" bestFit="1" customWidth="1"/>
    <col min="10" max="10" width="9.5703125" style="85" customWidth="1"/>
    <col min="11" max="11" width="11.5703125" style="85" bestFit="1" customWidth="1"/>
    <col min="12" max="12" width="12.140625" style="85" customWidth="1"/>
    <col min="13" max="16384" width="16" style="85"/>
  </cols>
  <sheetData>
    <row r="1" spans="1:12" s="21" customFormat="1" x14ac:dyDescent="0.25">
      <c r="B1" s="479" t="s">
        <v>325</v>
      </c>
      <c r="C1" s="480"/>
      <c r="D1" s="480"/>
      <c r="E1" s="480"/>
      <c r="F1" s="480"/>
      <c r="G1" s="480"/>
      <c r="H1" s="480"/>
      <c r="I1" s="480"/>
      <c r="J1" s="480"/>
      <c r="K1" s="480"/>
    </row>
    <row r="2" spans="1:12" s="21" customFormat="1" x14ac:dyDescent="0.25">
      <c r="B2" s="480"/>
      <c r="C2" s="480"/>
      <c r="D2" s="480"/>
      <c r="E2" s="480"/>
      <c r="F2" s="480"/>
      <c r="G2" s="480"/>
      <c r="H2" s="480"/>
      <c r="I2" s="480"/>
      <c r="J2" s="480"/>
      <c r="K2" s="480"/>
    </row>
    <row r="3" spans="1:12" s="21" customFormat="1" x14ac:dyDescent="0.25">
      <c r="B3" s="480"/>
      <c r="C3" s="480"/>
      <c r="D3" s="480"/>
      <c r="E3" s="480"/>
      <c r="F3" s="480"/>
      <c r="G3" s="480"/>
      <c r="H3" s="480"/>
      <c r="I3" s="480"/>
      <c r="J3" s="480"/>
      <c r="K3" s="480"/>
    </row>
    <row r="4" spans="1:12" s="21" customFormat="1" x14ac:dyDescent="0.25">
      <c r="B4" s="480"/>
      <c r="C4" s="480"/>
      <c r="D4" s="480"/>
      <c r="E4" s="480"/>
      <c r="F4" s="480"/>
      <c r="G4" s="480"/>
      <c r="H4" s="480"/>
      <c r="I4" s="480"/>
      <c r="J4" s="480"/>
      <c r="K4" s="480"/>
    </row>
    <row r="5" spans="1:12" s="21" customFormat="1" x14ac:dyDescent="0.25">
      <c r="B5" s="480"/>
      <c r="C5" s="480"/>
      <c r="D5" s="480"/>
      <c r="E5" s="480"/>
      <c r="F5" s="480"/>
      <c r="G5" s="480"/>
      <c r="H5" s="480"/>
      <c r="I5" s="480"/>
      <c r="J5" s="480"/>
      <c r="K5" s="480"/>
    </row>
    <row r="6" spans="1:12" s="12" customFormat="1" ht="15" customHeight="1" x14ac:dyDescent="0.25">
      <c r="B6" s="8" t="s">
        <v>49</v>
      </c>
      <c r="C6" s="13" t="str">
        <f>'DADOS DA OBRA'!$B$13</f>
        <v>TRIBUNAL REGIONAL ELEITORAL - PIAUÍ</v>
      </c>
      <c r="D6" s="11"/>
      <c r="E6" s="144"/>
      <c r="F6" s="10" t="s">
        <v>144</v>
      </c>
      <c r="G6" s="11" t="str">
        <f>+'DADOS DA OBRA'!$N$25</f>
        <v>22/11/2021</v>
      </c>
      <c r="H6" s="21"/>
      <c r="I6" s="21"/>
      <c r="J6" s="10" t="s">
        <v>70</v>
      </c>
      <c r="K6" s="52">
        <f>+'DADOS DA OBRA'!$J$25</f>
        <v>1.1186</v>
      </c>
    </row>
    <row r="7" spans="1:12" s="12" customFormat="1" ht="15" customHeight="1" x14ac:dyDescent="0.25">
      <c r="B7" s="8" t="s">
        <v>68</v>
      </c>
      <c r="C7" s="13" t="str">
        <f>'DADOS DA OBRA'!$B$16</f>
        <v>SUBSTITUIÇÃO DE INSTALAÇÕES ELÉTRICAS E CABEAMENTO ESTRUTURADO - EDIFÍCIO ANEXO</v>
      </c>
      <c r="D7" s="150"/>
      <c r="E7" s="145"/>
      <c r="F7" s="10" t="s">
        <v>51</v>
      </c>
      <c r="G7" s="11">
        <f>'DADOS DA OBRA'!$N$28</f>
        <v>44733</v>
      </c>
      <c r="H7" s="9"/>
      <c r="J7" s="10" t="s">
        <v>71</v>
      </c>
      <c r="K7" s="52">
        <f>+'DADOS DA OBRA'!$J$28</f>
        <v>0.70630000000000004</v>
      </c>
    </row>
    <row r="8" spans="1:12" s="12" customFormat="1" ht="15" customHeight="1" x14ac:dyDescent="0.25">
      <c r="B8" s="8" t="s">
        <v>52</v>
      </c>
      <c r="C8" s="9" t="str">
        <f>+""&amp;'DADOS DA OBRA'!$B$19&amp;", "&amp;'DADOS DA OBRA'!$J$22&amp;", "&amp;'DADOS DA OBRA'!$P$22</f>
        <v>PRAÇA EDGAR NOGUEIRA, TERESINA, PI</v>
      </c>
      <c r="D8" s="11"/>
      <c r="E8" s="146"/>
      <c r="F8" s="10" t="s">
        <v>145</v>
      </c>
      <c r="G8" s="11" t="str">
        <f>+'DADOS DA OBRA'!$B$28</f>
        <v>05 MESES</v>
      </c>
      <c r="J8" s="10" t="s">
        <v>138</v>
      </c>
      <c r="K8" s="52">
        <f>+'DADOS DA OBRA'!$F$25</f>
        <v>0.21960000000000002</v>
      </c>
    </row>
    <row r="9" spans="1:12" s="12" customFormat="1" ht="38.25" customHeight="1" x14ac:dyDescent="0.25">
      <c r="B9" s="8" t="s">
        <v>69</v>
      </c>
      <c r="C9" s="522" t="str">
        <f>+'DADOS DA OBRA'!$B$31</f>
        <v>SINAPI - 04/2022 - PIAUÍ 	 SBC - 05/2022 - TSA - Teresina - PI ORSE - 03/2022 - SERGIPE 	 SETOP - 03/2022 - Minas Gerais - Central SUDECAP - 02/2022 - MINAS GERAIS 	 CPOS - 02/2022 - São Paulo AGESUL - 01/2022 - MATO GROSSO DO SUL 	 AGETOP CIVIL - 04/2022 - Goiás EMOP - 04/2022 - RIO DE JANEIRO</v>
      </c>
      <c r="D9" s="522"/>
      <c r="E9" s="522"/>
      <c r="F9" s="522"/>
      <c r="G9" s="522"/>
      <c r="H9" s="522"/>
      <c r="J9" s="10" t="s">
        <v>139</v>
      </c>
      <c r="K9" s="52">
        <f>+'DADOS DA OBRA'!$F$28</f>
        <v>0.1527</v>
      </c>
    </row>
    <row r="10" spans="1:12" s="20" customFormat="1" x14ac:dyDescent="0.25">
      <c r="D10" s="84"/>
      <c r="E10" s="148"/>
      <c r="F10" s="75"/>
      <c r="G10" s="149"/>
      <c r="H10" s="10"/>
      <c r="I10" s="147"/>
      <c r="J10" s="10"/>
      <c r="K10" s="52"/>
      <c r="L10" s="78"/>
    </row>
    <row r="11" spans="1:12" ht="24.95" customHeight="1" x14ac:dyDescent="0.25">
      <c r="A11" s="304"/>
      <c r="B11" s="520" t="s">
        <v>1050</v>
      </c>
      <c r="C11" s="521"/>
      <c r="D11" s="521"/>
      <c r="E11" s="521"/>
      <c r="F11" s="521"/>
      <c r="G11" s="521"/>
      <c r="H11" s="521"/>
      <c r="I11" s="521"/>
      <c r="J11" s="521"/>
      <c r="K11" s="521"/>
      <c r="L11" s="322"/>
    </row>
    <row r="12" spans="1:12" ht="15" x14ac:dyDescent="0.25">
      <c r="B12" s="523" t="s">
        <v>1270</v>
      </c>
      <c r="C12" s="524"/>
      <c r="D12" s="524"/>
      <c r="E12" s="524"/>
      <c r="F12" s="524"/>
      <c r="G12" s="524"/>
      <c r="H12" s="524"/>
      <c r="I12" s="524"/>
      <c r="J12" s="524"/>
      <c r="K12" s="524"/>
      <c r="L12" s="524"/>
    </row>
    <row r="13" spans="1:12" ht="15" x14ac:dyDescent="0.25">
      <c r="B13" s="420" t="s">
        <v>116</v>
      </c>
      <c r="C13" s="366" t="s">
        <v>0</v>
      </c>
      <c r="D13" s="420" t="s">
        <v>183</v>
      </c>
      <c r="E13" s="420" t="s">
        <v>82</v>
      </c>
      <c r="F13" s="517" t="s">
        <v>1</v>
      </c>
      <c r="G13" s="517"/>
      <c r="H13" s="367" t="s">
        <v>3</v>
      </c>
      <c r="I13" s="366" t="s">
        <v>184</v>
      </c>
      <c r="J13" s="366" t="s">
        <v>1426</v>
      </c>
      <c r="K13" s="366" t="s">
        <v>185</v>
      </c>
      <c r="L13" s="366" t="s">
        <v>4</v>
      </c>
    </row>
    <row r="14" spans="1:12" ht="25.5" x14ac:dyDescent="0.25">
      <c r="B14" s="421" t="s">
        <v>7</v>
      </c>
      <c r="C14" s="368" t="s">
        <v>727</v>
      </c>
      <c r="D14" s="421" t="s">
        <v>31</v>
      </c>
      <c r="E14" s="421" t="s">
        <v>728</v>
      </c>
      <c r="F14" s="518" t="s">
        <v>186</v>
      </c>
      <c r="G14" s="518"/>
      <c r="H14" s="369" t="s">
        <v>119</v>
      </c>
      <c r="I14" s="370">
        <v>1</v>
      </c>
      <c r="J14" s="371"/>
      <c r="K14" s="371">
        <v>16039.65</v>
      </c>
      <c r="L14" s="371">
        <v>16039.65</v>
      </c>
    </row>
    <row r="15" spans="1:12" ht="38.25" x14ac:dyDescent="0.25">
      <c r="B15" s="422" t="s">
        <v>187</v>
      </c>
      <c r="C15" s="372" t="s">
        <v>778</v>
      </c>
      <c r="D15" s="422" t="s">
        <v>31</v>
      </c>
      <c r="E15" s="422" t="s">
        <v>779</v>
      </c>
      <c r="F15" s="519" t="s">
        <v>186</v>
      </c>
      <c r="G15" s="519"/>
      <c r="H15" s="373" t="s">
        <v>119</v>
      </c>
      <c r="I15" s="374">
        <v>1</v>
      </c>
      <c r="J15" s="374"/>
      <c r="K15" s="375">
        <v>323.94</v>
      </c>
      <c r="L15" s="375">
        <v>323.94</v>
      </c>
    </row>
    <row r="16" spans="1:12" ht="38.25" x14ac:dyDescent="0.25">
      <c r="B16" s="423" t="s">
        <v>188</v>
      </c>
      <c r="C16" s="376" t="s">
        <v>784</v>
      </c>
      <c r="D16" s="423" t="s">
        <v>31</v>
      </c>
      <c r="E16" s="423" t="s">
        <v>785</v>
      </c>
      <c r="F16" s="515" t="s">
        <v>189</v>
      </c>
      <c r="G16" s="515"/>
      <c r="H16" s="377" t="s">
        <v>119</v>
      </c>
      <c r="I16" s="378">
        <v>1</v>
      </c>
      <c r="J16" s="378"/>
      <c r="K16" s="379">
        <v>15426.12</v>
      </c>
      <c r="L16" s="379">
        <v>15426.12</v>
      </c>
    </row>
    <row r="17" spans="2:12" ht="38.25" x14ac:dyDescent="0.25">
      <c r="B17" s="423" t="s">
        <v>188</v>
      </c>
      <c r="C17" s="376" t="s">
        <v>780</v>
      </c>
      <c r="D17" s="423" t="s">
        <v>31</v>
      </c>
      <c r="E17" s="423" t="s">
        <v>781</v>
      </c>
      <c r="F17" s="515" t="s">
        <v>190</v>
      </c>
      <c r="G17" s="515"/>
      <c r="H17" s="377" t="s">
        <v>119</v>
      </c>
      <c r="I17" s="378">
        <v>1</v>
      </c>
      <c r="J17" s="378"/>
      <c r="K17" s="379">
        <v>123.54</v>
      </c>
      <c r="L17" s="379">
        <v>123.54</v>
      </c>
    </row>
    <row r="18" spans="2:12" ht="38.25" x14ac:dyDescent="0.25">
      <c r="B18" s="423" t="s">
        <v>188</v>
      </c>
      <c r="C18" s="376" t="s">
        <v>782</v>
      </c>
      <c r="D18" s="423" t="s">
        <v>31</v>
      </c>
      <c r="E18" s="423" t="s">
        <v>783</v>
      </c>
      <c r="F18" s="515" t="s">
        <v>190</v>
      </c>
      <c r="G18" s="515"/>
      <c r="H18" s="377" t="s">
        <v>119</v>
      </c>
      <c r="I18" s="378">
        <v>1</v>
      </c>
      <c r="J18" s="378"/>
      <c r="K18" s="379">
        <v>1.9</v>
      </c>
      <c r="L18" s="379">
        <v>1.9</v>
      </c>
    </row>
    <row r="19" spans="2:12" ht="38.25" x14ac:dyDescent="0.25">
      <c r="B19" s="423" t="s">
        <v>188</v>
      </c>
      <c r="C19" s="376" t="s">
        <v>178</v>
      </c>
      <c r="D19" s="423" t="s">
        <v>31</v>
      </c>
      <c r="E19" s="423" t="s">
        <v>179</v>
      </c>
      <c r="F19" s="515" t="s">
        <v>198</v>
      </c>
      <c r="G19" s="515"/>
      <c r="H19" s="377" t="s">
        <v>119</v>
      </c>
      <c r="I19" s="378">
        <v>1</v>
      </c>
      <c r="J19" s="378"/>
      <c r="K19" s="379">
        <v>152.35</v>
      </c>
      <c r="L19" s="379">
        <v>152.35</v>
      </c>
    </row>
    <row r="20" spans="2:12" ht="38.25" x14ac:dyDescent="0.25">
      <c r="B20" s="423" t="s">
        <v>188</v>
      </c>
      <c r="C20" s="376" t="s">
        <v>181</v>
      </c>
      <c r="D20" s="423" t="s">
        <v>31</v>
      </c>
      <c r="E20" s="423" t="s">
        <v>182</v>
      </c>
      <c r="F20" s="515" t="s">
        <v>198</v>
      </c>
      <c r="G20" s="515"/>
      <c r="H20" s="377" t="s">
        <v>119</v>
      </c>
      <c r="I20" s="378">
        <v>1</v>
      </c>
      <c r="J20" s="378"/>
      <c r="K20" s="379">
        <v>11.8</v>
      </c>
      <c r="L20" s="379">
        <v>11.8</v>
      </c>
    </row>
    <row r="21" spans="2:12" ht="15" x14ac:dyDescent="0.25">
      <c r="B21" s="424"/>
      <c r="C21" s="424"/>
      <c r="D21" s="424"/>
      <c r="E21" s="424"/>
      <c r="F21" s="424"/>
      <c r="G21" s="380"/>
      <c r="H21" s="424"/>
      <c r="I21" s="380"/>
      <c r="J21" s="424"/>
      <c r="K21" s="380"/>
      <c r="L21"/>
    </row>
    <row r="22" spans="2:12" ht="15.75" thickBot="1" x14ac:dyDescent="0.3">
      <c r="B22" s="424"/>
      <c r="C22" s="424"/>
      <c r="D22" s="424"/>
      <c r="E22" s="424"/>
      <c r="F22" s="424"/>
      <c r="G22" s="380"/>
      <c r="H22" s="424"/>
      <c r="I22" s="516"/>
      <c r="J22" s="516"/>
      <c r="K22" s="380"/>
      <c r="L22"/>
    </row>
    <row r="23" spans="2:12" ht="13.5" thickTop="1" x14ac:dyDescent="0.25">
      <c r="B23" s="381"/>
      <c r="C23" s="381"/>
      <c r="D23" s="381"/>
      <c r="E23" s="381"/>
      <c r="F23" s="381"/>
      <c r="G23" s="381"/>
      <c r="H23" s="381"/>
      <c r="I23" s="381"/>
      <c r="J23" s="381"/>
      <c r="K23" s="381"/>
      <c r="L23" s="381"/>
    </row>
    <row r="24" spans="2:12" ht="15" x14ac:dyDescent="0.25">
      <c r="B24" s="420" t="s">
        <v>117</v>
      </c>
      <c r="C24" s="366" t="s">
        <v>0</v>
      </c>
      <c r="D24" s="420" t="s">
        <v>183</v>
      </c>
      <c r="E24" s="420" t="s">
        <v>82</v>
      </c>
      <c r="F24" s="517" t="s">
        <v>1</v>
      </c>
      <c r="G24" s="517"/>
      <c r="H24" s="367" t="s">
        <v>3</v>
      </c>
      <c r="I24" s="366" t="s">
        <v>184</v>
      </c>
      <c r="J24" s="366" t="s">
        <v>1426</v>
      </c>
      <c r="K24" s="366" t="s">
        <v>185</v>
      </c>
      <c r="L24" s="366" t="s">
        <v>4</v>
      </c>
    </row>
    <row r="25" spans="2:12" ht="25.5" x14ac:dyDescent="0.25">
      <c r="B25" s="421" t="s">
        <v>7</v>
      </c>
      <c r="C25" s="368" t="s">
        <v>118</v>
      </c>
      <c r="D25" s="421" t="s">
        <v>31</v>
      </c>
      <c r="E25" s="421" t="s">
        <v>112</v>
      </c>
      <c r="F25" s="518" t="s">
        <v>186</v>
      </c>
      <c r="G25" s="518"/>
      <c r="H25" s="369" t="s">
        <v>119</v>
      </c>
      <c r="I25" s="370">
        <v>1</v>
      </c>
      <c r="J25" s="371"/>
      <c r="K25" s="371">
        <v>4998.74</v>
      </c>
      <c r="L25" s="371">
        <v>4998.74</v>
      </c>
    </row>
    <row r="26" spans="2:12" ht="38.25" x14ac:dyDescent="0.25">
      <c r="B26" s="422" t="s">
        <v>187</v>
      </c>
      <c r="C26" s="372" t="s">
        <v>196</v>
      </c>
      <c r="D26" s="422" t="s">
        <v>31</v>
      </c>
      <c r="E26" s="422" t="s">
        <v>197</v>
      </c>
      <c r="F26" s="519" t="s">
        <v>186</v>
      </c>
      <c r="G26" s="519"/>
      <c r="H26" s="373" t="s">
        <v>119</v>
      </c>
      <c r="I26" s="374">
        <v>1</v>
      </c>
      <c r="J26" s="374"/>
      <c r="K26" s="375">
        <v>59.64</v>
      </c>
      <c r="L26" s="375">
        <v>59.64</v>
      </c>
    </row>
    <row r="27" spans="2:12" ht="38.25" x14ac:dyDescent="0.25">
      <c r="B27" s="423" t="s">
        <v>188</v>
      </c>
      <c r="C27" s="376" t="s">
        <v>171</v>
      </c>
      <c r="D27" s="423" t="s">
        <v>31</v>
      </c>
      <c r="E27" s="423" t="s">
        <v>172</v>
      </c>
      <c r="F27" s="515" t="s">
        <v>189</v>
      </c>
      <c r="G27" s="515"/>
      <c r="H27" s="377" t="s">
        <v>119</v>
      </c>
      <c r="I27" s="378">
        <v>1</v>
      </c>
      <c r="J27" s="378"/>
      <c r="K27" s="379">
        <v>4553.43</v>
      </c>
      <c r="L27" s="379">
        <v>4553.43</v>
      </c>
    </row>
    <row r="28" spans="2:12" ht="38.25" x14ac:dyDescent="0.25">
      <c r="B28" s="423" t="s">
        <v>188</v>
      </c>
      <c r="C28" s="376" t="s">
        <v>176</v>
      </c>
      <c r="D28" s="423" t="s">
        <v>31</v>
      </c>
      <c r="E28" s="423" t="s">
        <v>261</v>
      </c>
      <c r="F28" s="515" t="s">
        <v>190</v>
      </c>
      <c r="G28" s="515"/>
      <c r="H28" s="377" t="s">
        <v>119</v>
      </c>
      <c r="I28" s="378">
        <v>1</v>
      </c>
      <c r="J28" s="378"/>
      <c r="K28" s="379">
        <v>202.94</v>
      </c>
      <c r="L28" s="379">
        <v>202.94</v>
      </c>
    </row>
    <row r="29" spans="2:12" ht="38.25" x14ac:dyDescent="0.25">
      <c r="B29" s="423" t="s">
        <v>188</v>
      </c>
      <c r="C29" s="376" t="s">
        <v>180</v>
      </c>
      <c r="D29" s="423" t="s">
        <v>31</v>
      </c>
      <c r="E29" s="423" t="s">
        <v>260</v>
      </c>
      <c r="F29" s="515" t="s">
        <v>190</v>
      </c>
      <c r="G29" s="515"/>
      <c r="H29" s="377" t="s">
        <v>119</v>
      </c>
      <c r="I29" s="378">
        <v>1</v>
      </c>
      <c r="J29" s="378"/>
      <c r="K29" s="379">
        <v>18.579999999999998</v>
      </c>
      <c r="L29" s="379">
        <v>18.579999999999998</v>
      </c>
    </row>
    <row r="30" spans="2:12" ht="38.25" x14ac:dyDescent="0.25">
      <c r="B30" s="423" t="s">
        <v>188</v>
      </c>
      <c r="C30" s="376" t="s">
        <v>178</v>
      </c>
      <c r="D30" s="423" t="s">
        <v>31</v>
      </c>
      <c r="E30" s="423" t="s">
        <v>179</v>
      </c>
      <c r="F30" s="515" t="s">
        <v>198</v>
      </c>
      <c r="G30" s="515"/>
      <c r="H30" s="377" t="s">
        <v>119</v>
      </c>
      <c r="I30" s="378">
        <v>1</v>
      </c>
      <c r="J30" s="378"/>
      <c r="K30" s="379">
        <v>152.35</v>
      </c>
      <c r="L30" s="379">
        <v>152.35</v>
      </c>
    </row>
    <row r="31" spans="2:12" ht="38.25" x14ac:dyDescent="0.25">
      <c r="B31" s="423" t="s">
        <v>188</v>
      </c>
      <c r="C31" s="376" t="s">
        <v>181</v>
      </c>
      <c r="D31" s="423" t="s">
        <v>31</v>
      </c>
      <c r="E31" s="423" t="s">
        <v>182</v>
      </c>
      <c r="F31" s="515" t="s">
        <v>198</v>
      </c>
      <c r="G31" s="515"/>
      <c r="H31" s="377" t="s">
        <v>119</v>
      </c>
      <c r="I31" s="378">
        <v>1</v>
      </c>
      <c r="J31" s="378"/>
      <c r="K31" s="379">
        <v>11.8</v>
      </c>
      <c r="L31" s="379">
        <v>11.8</v>
      </c>
    </row>
    <row r="32" spans="2:12" ht="15" x14ac:dyDescent="0.25">
      <c r="B32" s="424"/>
      <c r="C32" s="424"/>
      <c r="D32" s="424"/>
      <c r="E32" s="424"/>
      <c r="F32" s="424"/>
      <c r="G32" s="380"/>
      <c r="H32" s="424"/>
      <c r="I32" s="380"/>
      <c r="J32" s="424"/>
      <c r="K32" s="380"/>
      <c r="L32"/>
    </row>
    <row r="33" spans="2:12" ht="15.75" thickBot="1" x14ac:dyDescent="0.3">
      <c r="B33" s="424"/>
      <c r="C33" s="424"/>
      <c r="D33" s="424"/>
      <c r="E33" s="424"/>
      <c r="F33" s="424"/>
      <c r="G33" s="380"/>
      <c r="H33" s="424"/>
      <c r="I33" s="516"/>
      <c r="J33" s="516"/>
      <c r="K33" s="380"/>
      <c r="L33"/>
    </row>
    <row r="34" spans="2:12" ht="13.5" thickTop="1" x14ac:dyDescent="0.25">
      <c r="B34" s="381"/>
      <c r="C34" s="381"/>
      <c r="D34" s="381"/>
      <c r="E34" s="381"/>
      <c r="F34" s="381"/>
      <c r="G34" s="381"/>
      <c r="H34" s="381"/>
      <c r="I34" s="381"/>
      <c r="J34" s="381"/>
      <c r="K34" s="381"/>
      <c r="L34" s="381"/>
    </row>
    <row r="35" spans="2:12" ht="15" x14ac:dyDescent="0.25">
      <c r="B35" s="420" t="s">
        <v>265</v>
      </c>
      <c r="C35" s="366" t="s">
        <v>0</v>
      </c>
      <c r="D35" s="420" t="s">
        <v>183</v>
      </c>
      <c r="E35" s="420" t="s">
        <v>82</v>
      </c>
      <c r="F35" s="517" t="s">
        <v>1</v>
      </c>
      <c r="G35" s="517"/>
      <c r="H35" s="367" t="s">
        <v>3</v>
      </c>
      <c r="I35" s="366" t="s">
        <v>184</v>
      </c>
      <c r="J35" s="366" t="s">
        <v>1426</v>
      </c>
      <c r="K35" s="366" t="s">
        <v>185</v>
      </c>
      <c r="L35" s="366" t="s">
        <v>4</v>
      </c>
    </row>
    <row r="36" spans="2:12" ht="25.5" x14ac:dyDescent="0.25">
      <c r="B36" s="421" t="s">
        <v>7</v>
      </c>
      <c r="C36" s="368" t="s">
        <v>1051</v>
      </c>
      <c r="D36" s="421" t="s">
        <v>31</v>
      </c>
      <c r="E36" s="421" t="s">
        <v>1052</v>
      </c>
      <c r="F36" s="518" t="s">
        <v>186</v>
      </c>
      <c r="G36" s="518"/>
      <c r="H36" s="369" t="s">
        <v>119</v>
      </c>
      <c r="I36" s="370">
        <v>1</v>
      </c>
      <c r="J36" s="371"/>
      <c r="K36" s="371">
        <v>5401.98</v>
      </c>
      <c r="L36" s="371">
        <v>5401.98</v>
      </c>
    </row>
    <row r="37" spans="2:12" ht="38.25" x14ac:dyDescent="0.25">
      <c r="B37" s="422" t="s">
        <v>187</v>
      </c>
      <c r="C37" s="372" t="s">
        <v>1053</v>
      </c>
      <c r="D37" s="422" t="s">
        <v>31</v>
      </c>
      <c r="E37" s="422" t="s">
        <v>1054</v>
      </c>
      <c r="F37" s="519" t="s">
        <v>186</v>
      </c>
      <c r="G37" s="519"/>
      <c r="H37" s="373" t="s">
        <v>119</v>
      </c>
      <c r="I37" s="374">
        <v>1</v>
      </c>
      <c r="J37" s="374"/>
      <c r="K37" s="375">
        <v>55.96</v>
      </c>
      <c r="L37" s="375">
        <v>55.96</v>
      </c>
    </row>
    <row r="38" spans="2:12" ht="38.25" x14ac:dyDescent="0.25">
      <c r="B38" s="423" t="s">
        <v>188</v>
      </c>
      <c r="C38" s="376" t="s">
        <v>1055</v>
      </c>
      <c r="D38" s="423" t="s">
        <v>31</v>
      </c>
      <c r="E38" s="423" t="s">
        <v>1056</v>
      </c>
      <c r="F38" s="515" t="s">
        <v>190</v>
      </c>
      <c r="G38" s="515"/>
      <c r="H38" s="377" t="s">
        <v>119</v>
      </c>
      <c r="I38" s="378">
        <v>1</v>
      </c>
      <c r="J38" s="378"/>
      <c r="K38" s="379">
        <v>130.43</v>
      </c>
      <c r="L38" s="379">
        <v>130.43</v>
      </c>
    </row>
    <row r="39" spans="2:12" ht="38.25" x14ac:dyDescent="0.25">
      <c r="B39" s="423" t="s">
        <v>188</v>
      </c>
      <c r="C39" s="376" t="s">
        <v>178</v>
      </c>
      <c r="D39" s="423" t="s">
        <v>31</v>
      </c>
      <c r="E39" s="423" t="s">
        <v>179</v>
      </c>
      <c r="F39" s="515" t="s">
        <v>198</v>
      </c>
      <c r="G39" s="515"/>
      <c r="H39" s="377" t="s">
        <v>119</v>
      </c>
      <c r="I39" s="378">
        <v>1</v>
      </c>
      <c r="J39" s="378"/>
      <c r="K39" s="379">
        <v>152.35</v>
      </c>
      <c r="L39" s="379">
        <v>152.35</v>
      </c>
    </row>
    <row r="40" spans="2:12" ht="38.25" x14ac:dyDescent="0.25">
      <c r="B40" s="423" t="s">
        <v>188</v>
      </c>
      <c r="C40" s="376" t="s">
        <v>1057</v>
      </c>
      <c r="D40" s="423" t="s">
        <v>31</v>
      </c>
      <c r="E40" s="423" t="s">
        <v>1058</v>
      </c>
      <c r="F40" s="515" t="s">
        <v>190</v>
      </c>
      <c r="G40" s="515"/>
      <c r="H40" s="377" t="s">
        <v>119</v>
      </c>
      <c r="I40" s="378">
        <v>1</v>
      </c>
      <c r="J40" s="378"/>
      <c r="K40" s="379">
        <v>9.2100000000000009</v>
      </c>
      <c r="L40" s="379">
        <v>9.2100000000000009</v>
      </c>
    </row>
    <row r="41" spans="2:12" ht="38.25" x14ac:dyDescent="0.25">
      <c r="B41" s="423" t="s">
        <v>188</v>
      </c>
      <c r="C41" s="376" t="s">
        <v>181</v>
      </c>
      <c r="D41" s="423" t="s">
        <v>31</v>
      </c>
      <c r="E41" s="423" t="s">
        <v>182</v>
      </c>
      <c r="F41" s="515" t="s">
        <v>198</v>
      </c>
      <c r="G41" s="515"/>
      <c r="H41" s="377" t="s">
        <v>119</v>
      </c>
      <c r="I41" s="378">
        <v>1</v>
      </c>
      <c r="J41" s="378"/>
      <c r="K41" s="379">
        <v>11.8</v>
      </c>
      <c r="L41" s="379">
        <v>11.8</v>
      </c>
    </row>
    <row r="42" spans="2:12" ht="38.25" x14ac:dyDescent="0.25">
      <c r="B42" s="423" t="s">
        <v>188</v>
      </c>
      <c r="C42" s="376" t="s">
        <v>1059</v>
      </c>
      <c r="D42" s="423" t="s">
        <v>31</v>
      </c>
      <c r="E42" s="423" t="s">
        <v>1060</v>
      </c>
      <c r="F42" s="515" t="s">
        <v>189</v>
      </c>
      <c r="G42" s="515"/>
      <c r="H42" s="377" t="s">
        <v>119</v>
      </c>
      <c r="I42" s="378">
        <v>1</v>
      </c>
      <c r="J42" s="378"/>
      <c r="K42" s="379">
        <v>5042.2299999999996</v>
      </c>
      <c r="L42" s="379">
        <v>5042.2299999999996</v>
      </c>
    </row>
    <row r="43" spans="2:12" ht="15" x14ac:dyDescent="0.25">
      <c r="B43" s="424"/>
      <c r="C43" s="424"/>
      <c r="D43" s="424"/>
      <c r="E43" s="424"/>
      <c r="F43" s="424"/>
      <c r="G43" s="380"/>
      <c r="H43" s="424"/>
      <c r="I43" s="380"/>
      <c r="J43" s="424"/>
      <c r="K43" s="380"/>
      <c r="L43"/>
    </row>
    <row r="44" spans="2:12" ht="15.75" thickBot="1" x14ac:dyDescent="0.3">
      <c r="B44" s="424"/>
      <c r="C44" s="424"/>
      <c r="D44" s="424"/>
      <c r="E44" s="424"/>
      <c r="F44" s="424"/>
      <c r="G44" s="380"/>
      <c r="H44" s="424"/>
      <c r="I44" s="516"/>
      <c r="J44" s="516"/>
      <c r="K44" s="380"/>
      <c r="L44"/>
    </row>
    <row r="45" spans="2:12" ht="13.5" thickTop="1" x14ac:dyDescent="0.25">
      <c r="B45" s="381"/>
      <c r="C45" s="381"/>
      <c r="D45" s="381"/>
      <c r="E45" s="381"/>
      <c r="F45" s="381"/>
      <c r="G45" s="381"/>
      <c r="H45" s="381"/>
      <c r="I45" s="381"/>
      <c r="J45" s="381"/>
      <c r="K45" s="381"/>
      <c r="L45" s="381"/>
    </row>
    <row r="46" spans="2:12" ht="15" x14ac:dyDescent="0.25">
      <c r="B46" s="420" t="s">
        <v>120</v>
      </c>
      <c r="C46" s="366" t="s">
        <v>0</v>
      </c>
      <c r="D46" s="420" t="s">
        <v>183</v>
      </c>
      <c r="E46" s="420" t="s">
        <v>82</v>
      </c>
      <c r="F46" s="517" t="s">
        <v>1</v>
      </c>
      <c r="G46" s="517"/>
      <c r="H46" s="367" t="s">
        <v>3</v>
      </c>
      <c r="I46" s="366" t="s">
        <v>184</v>
      </c>
      <c r="J46" s="366" t="s">
        <v>1426</v>
      </c>
      <c r="K46" s="366" t="s">
        <v>185</v>
      </c>
      <c r="L46" s="366" t="s">
        <v>4</v>
      </c>
    </row>
    <row r="47" spans="2:12" ht="25.5" x14ac:dyDescent="0.25">
      <c r="B47" s="421" t="s">
        <v>7</v>
      </c>
      <c r="C47" s="368" t="s">
        <v>258</v>
      </c>
      <c r="D47" s="421" t="s">
        <v>124</v>
      </c>
      <c r="E47" s="421" t="s">
        <v>729</v>
      </c>
      <c r="F47" s="518" t="s">
        <v>199</v>
      </c>
      <c r="G47" s="518"/>
      <c r="H47" s="369" t="s">
        <v>119</v>
      </c>
      <c r="I47" s="370">
        <v>1</v>
      </c>
      <c r="J47" s="371"/>
      <c r="K47" s="371">
        <v>859.37</v>
      </c>
      <c r="L47" s="371">
        <v>859.37</v>
      </c>
    </row>
    <row r="48" spans="2:12" ht="38.25" x14ac:dyDescent="0.25">
      <c r="B48" s="423" t="s">
        <v>188</v>
      </c>
      <c r="C48" s="376" t="s">
        <v>262</v>
      </c>
      <c r="D48" s="423" t="s">
        <v>31</v>
      </c>
      <c r="E48" s="423" t="s">
        <v>1061</v>
      </c>
      <c r="F48" s="515" t="s">
        <v>190</v>
      </c>
      <c r="G48" s="515"/>
      <c r="H48" s="377" t="s">
        <v>119</v>
      </c>
      <c r="I48" s="378">
        <v>1</v>
      </c>
      <c r="J48" s="378"/>
      <c r="K48" s="379">
        <v>859.37</v>
      </c>
      <c r="L48" s="379">
        <v>859.37</v>
      </c>
    </row>
    <row r="49" spans="2:12" ht="38.25" x14ac:dyDescent="0.25">
      <c r="B49" s="424"/>
      <c r="C49" s="424"/>
      <c r="D49" s="424"/>
      <c r="E49" s="424"/>
      <c r="F49" s="424" t="s">
        <v>191</v>
      </c>
      <c r="G49" s="380">
        <v>0</v>
      </c>
      <c r="H49" s="424" t="s">
        <v>192</v>
      </c>
      <c r="I49" s="380">
        <v>0</v>
      </c>
      <c r="J49" s="424" t="s">
        <v>193</v>
      </c>
      <c r="K49" s="380">
        <v>0</v>
      </c>
      <c r="L49"/>
    </row>
    <row r="50" spans="2:12" ht="39" thickBot="1" x14ac:dyDescent="0.3">
      <c r="B50" s="424"/>
      <c r="C50" s="424"/>
      <c r="D50" s="424"/>
      <c r="E50" s="424"/>
      <c r="F50" s="424" t="s">
        <v>194</v>
      </c>
      <c r="G50" s="380">
        <v>0</v>
      </c>
      <c r="H50" s="424"/>
      <c r="I50" s="516" t="s">
        <v>195</v>
      </c>
      <c r="J50" s="516"/>
      <c r="K50" s="380">
        <v>859.37</v>
      </c>
      <c r="L50"/>
    </row>
    <row r="51" spans="2:12" ht="13.5" thickTop="1" x14ac:dyDescent="0.25">
      <c r="B51" s="381"/>
      <c r="C51" s="381"/>
      <c r="D51" s="381"/>
      <c r="E51" s="381"/>
      <c r="F51" s="381"/>
      <c r="G51" s="381"/>
      <c r="H51" s="381"/>
      <c r="I51" s="381"/>
      <c r="J51" s="381"/>
      <c r="K51" s="381"/>
      <c r="L51" s="381"/>
    </row>
    <row r="52" spans="2:12" ht="15" x14ac:dyDescent="0.25">
      <c r="B52" s="420" t="s">
        <v>121</v>
      </c>
      <c r="C52" s="366" t="s">
        <v>0</v>
      </c>
      <c r="D52" s="420" t="s">
        <v>183</v>
      </c>
      <c r="E52" s="420" t="s">
        <v>82</v>
      </c>
      <c r="F52" s="517" t="s">
        <v>1</v>
      </c>
      <c r="G52" s="517"/>
      <c r="H52" s="367" t="s">
        <v>3</v>
      </c>
      <c r="I52" s="366" t="s">
        <v>184</v>
      </c>
      <c r="J52" s="366" t="s">
        <v>1426</v>
      </c>
      <c r="K52" s="366" t="s">
        <v>185</v>
      </c>
      <c r="L52" s="366" t="s">
        <v>4</v>
      </c>
    </row>
    <row r="53" spans="2:12" ht="25.5" x14ac:dyDescent="0.25">
      <c r="B53" s="421" t="s">
        <v>7</v>
      </c>
      <c r="C53" s="368" t="s">
        <v>259</v>
      </c>
      <c r="D53" s="421" t="s">
        <v>124</v>
      </c>
      <c r="E53" s="421" t="s">
        <v>730</v>
      </c>
      <c r="F53" s="518" t="s">
        <v>199</v>
      </c>
      <c r="G53" s="518"/>
      <c r="H53" s="369" t="s">
        <v>119</v>
      </c>
      <c r="I53" s="370">
        <v>1</v>
      </c>
      <c r="J53" s="371"/>
      <c r="K53" s="371">
        <v>1100</v>
      </c>
      <c r="L53" s="371">
        <v>1100</v>
      </c>
    </row>
    <row r="54" spans="2:12" ht="38.25" x14ac:dyDescent="0.25">
      <c r="B54" s="423" t="s">
        <v>188</v>
      </c>
      <c r="C54" s="376" t="s">
        <v>786</v>
      </c>
      <c r="D54" s="423" t="s">
        <v>31</v>
      </c>
      <c r="E54" s="423" t="s">
        <v>1062</v>
      </c>
      <c r="F54" s="515" t="s">
        <v>190</v>
      </c>
      <c r="G54" s="515"/>
      <c r="H54" s="377" t="s">
        <v>119</v>
      </c>
      <c r="I54" s="378">
        <v>1</v>
      </c>
      <c r="J54" s="378"/>
      <c r="K54" s="379">
        <v>1100</v>
      </c>
      <c r="L54" s="379">
        <v>1100</v>
      </c>
    </row>
    <row r="55" spans="2:12" ht="15" x14ac:dyDescent="0.25">
      <c r="B55" s="424"/>
      <c r="C55" s="424"/>
      <c r="D55" s="424"/>
      <c r="E55" s="424"/>
      <c r="F55" s="424"/>
      <c r="G55" s="380"/>
      <c r="H55" s="424"/>
      <c r="I55" s="380"/>
      <c r="J55" s="424"/>
      <c r="K55" s="380"/>
      <c r="L55"/>
    </row>
    <row r="56" spans="2:12" ht="15.75" thickBot="1" x14ac:dyDescent="0.3">
      <c r="B56" s="424"/>
      <c r="C56" s="424"/>
      <c r="D56" s="424"/>
      <c r="E56" s="424"/>
      <c r="F56" s="424"/>
      <c r="G56" s="380"/>
      <c r="H56" s="424"/>
      <c r="I56" s="516"/>
      <c r="J56" s="516"/>
      <c r="K56" s="380"/>
      <c r="L56"/>
    </row>
    <row r="57" spans="2:12" ht="13.5" thickTop="1" x14ac:dyDescent="0.25">
      <c r="B57" s="381"/>
      <c r="C57" s="381"/>
      <c r="D57" s="381"/>
      <c r="E57" s="381"/>
      <c r="F57" s="381"/>
      <c r="G57" s="381"/>
      <c r="H57" s="381"/>
      <c r="I57" s="381"/>
      <c r="J57" s="381"/>
      <c r="K57" s="381"/>
      <c r="L57" s="381"/>
    </row>
    <row r="58" spans="2:12" ht="15" x14ac:dyDescent="0.25">
      <c r="B58" s="420" t="s">
        <v>122</v>
      </c>
      <c r="C58" s="366" t="s">
        <v>0</v>
      </c>
      <c r="D58" s="420" t="s">
        <v>183</v>
      </c>
      <c r="E58" s="420" t="s">
        <v>82</v>
      </c>
      <c r="F58" s="517" t="s">
        <v>1</v>
      </c>
      <c r="G58" s="517"/>
      <c r="H58" s="367" t="s">
        <v>3</v>
      </c>
      <c r="I58" s="366" t="s">
        <v>184</v>
      </c>
      <c r="J58" s="366" t="s">
        <v>1426</v>
      </c>
      <c r="K58" s="366" t="s">
        <v>185</v>
      </c>
      <c r="L58" s="366" t="s">
        <v>4</v>
      </c>
    </row>
    <row r="59" spans="2:12" ht="25.5" x14ac:dyDescent="0.25">
      <c r="B59" s="421" t="s">
        <v>7</v>
      </c>
      <c r="C59" s="368" t="s">
        <v>123</v>
      </c>
      <c r="D59" s="421" t="s">
        <v>124</v>
      </c>
      <c r="E59" s="421" t="s">
        <v>125</v>
      </c>
      <c r="F59" s="518" t="s">
        <v>199</v>
      </c>
      <c r="G59" s="518"/>
      <c r="H59" s="369" t="s">
        <v>126</v>
      </c>
      <c r="I59" s="370">
        <v>1</v>
      </c>
      <c r="J59" s="371"/>
      <c r="K59" s="371">
        <v>10</v>
      </c>
      <c r="L59" s="371">
        <v>10</v>
      </c>
    </row>
    <row r="60" spans="2:12" ht="38.25" x14ac:dyDescent="0.25">
      <c r="B60" s="423" t="s">
        <v>188</v>
      </c>
      <c r="C60" s="376" t="s">
        <v>170</v>
      </c>
      <c r="D60" s="423" t="s">
        <v>31</v>
      </c>
      <c r="E60" s="423" t="s">
        <v>263</v>
      </c>
      <c r="F60" s="515" t="s">
        <v>190</v>
      </c>
      <c r="G60" s="515"/>
      <c r="H60" s="377" t="s">
        <v>126</v>
      </c>
      <c r="I60" s="378">
        <v>1</v>
      </c>
      <c r="J60" s="378"/>
      <c r="K60" s="379">
        <v>10</v>
      </c>
      <c r="L60" s="379">
        <v>10</v>
      </c>
    </row>
    <row r="61" spans="2:12" ht="15" x14ac:dyDescent="0.25">
      <c r="B61" s="424"/>
      <c r="C61" s="424"/>
      <c r="D61" s="424"/>
      <c r="E61" s="424"/>
      <c r="F61" s="424"/>
      <c r="G61" s="380"/>
      <c r="H61" s="424"/>
      <c r="I61" s="380"/>
      <c r="J61" s="424"/>
      <c r="K61" s="380"/>
      <c r="L61"/>
    </row>
    <row r="62" spans="2:12" ht="15.75" thickBot="1" x14ac:dyDescent="0.3">
      <c r="B62" s="424"/>
      <c r="C62" s="424"/>
      <c r="D62" s="424"/>
      <c r="E62" s="424"/>
      <c r="F62" s="424"/>
      <c r="G62" s="380"/>
      <c r="H62" s="424"/>
      <c r="I62" s="516"/>
      <c r="J62" s="516"/>
      <c r="K62" s="380"/>
      <c r="L62"/>
    </row>
    <row r="63" spans="2:12" ht="13.5" thickTop="1" x14ac:dyDescent="0.25">
      <c r="B63" s="381"/>
      <c r="C63" s="381"/>
      <c r="D63" s="381"/>
      <c r="E63" s="381"/>
      <c r="F63" s="381"/>
      <c r="G63" s="381"/>
      <c r="H63" s="381"/>
      <c r="I63" s="381"/>
      <c r="J63" s="381"/>
      <c r="K63" s="381"/>
      <c r="L63" s="381"/>
    </row>
    <row r="64" spans="2:12" ht="15" x14ac:dyDescent="0.25">
      <c r="B64" s="420" t="s">
        <v>248</v>
      </c>
      <c r="C64" s="366" t="s">
        <v>0</v>
      </c>
      <c r="D64" s="420" t="s">
        <v>183</v>
      </c>
      <c r="E64" s="420" t="s">
        <v>82</v>
      </c>
      <c r="F64" s="517" t="s">
        <v>1</v>
      </c>
      <c r="G64" s="517"/>
      <c r="H64" s="367" t="s">
        <v>3</v>
      </c>
      <c r="I64" s="366" t="s">
        <v>184</v>
      </c>
      <c r="J64" s="366" t="s">
        <v>1426</v>
      </c>
      <c r="K64" s="366" t="s">
        <v>185</v>
      </c>
      <c r="L64" s="366" t="s">
        <v>4</v>
      </c>
    </row>
    <row r="65" spans="2:12" ht="25.5" x14ac:dyDescent="0.25">
      <c r="B65" s="421" t="s">
        <v>7</v>
      </c>
      <c r="C65" s="368" t="s">
        <v>127</v>
      </c>
      <c r="D65" s="421" t="s">
        <v>31</v>
      </c>
      <c r="E65" s="421" t="s">
        <v>108</v>
      </c>
      <c r="F65" s="518" t="s">
        <v>186</v>
      </c>
      <c r="G65" s="518"/>
      <c r="H65" s="369" t="s">
        <v>8</v>
      </c>
      <c r="I65" s="370">
        <v>1</v>
      </c>
      <c r="J65" s="371"/>
      <c r="K65" s="371">
        <v>5.42</v>
      </c>
      <c r="L65" s="371">
        <v>5.42</v>
      </c>
    </row>
    <row r="66" spans="2:12" ht="38.25" x14ac:dyDescent="0.25">
      <c r="B66" s="422" t="s">
        <v>187</v>
      </c>
      <c r="C66" s="372" t="s">
        <v>202</v>
      </c>
      <c r="D66" s="422" t="s">
        <v>31</v>
      </c>
      <c r="E66" s="422" t="s">
        <v>203</v>
      </c>
      <c r="F66" s="519" t="s">
        <v>186</v>
      </c>
      <c r="G66" s="519"/>
      <c r="H66" s="373" t="s">
        <v>204</v>
      </c>
      <c r="I66" s="374">
        <v>0.22500000000000001</v>
      </c>
      <c r="J66" s="374"/>
      <c r="K66" s="375">
        <v>10.66</v>
      </c>
      <c r="L66" s="375">
        <v>2.39</v>
      </c>
    </row>
    <row r="67" spans="2:12" ht="38.25" x14ac:dyDescent="0.25">
      <c r="B67" s="422" t="s">
        <v>187</v>
      </c>
      <c r="C67" s="372" t="s">
        <v>205</v>
      </c>
      <c r="D67" s="422" t="s">
        <v>31</v>
      </c>
      <c r="E67" s="422" t="s">
        <v>206</v>
      </c>
      <c r="F67" s="519" t="s">
        <v>186</v>
      </c>
      <c r="G67" s="519"/>
      <c r="H67" s="373" t="s">
        <v>32</v>
      </c>
      <c r="I67" s="374">
        <v>0.13400000000000001</v>
      </c>
      <c r="J67" s="374"/>
      <c r="K67" s="375">
        <v>19.239999999999998</v>
      </c>
      <c r="L67" s="375">
        <v>2.57</v>
      </c>
    </row>
    <row r="68" spans="2:12" ht="38.25" x14ac:dyDescent="0.25">
      <c r="B68" s="422" t="s">
        <v>187</v>
      </c>
      <c r="C68" s="372" t="s">
        <v>201</v>
      </c>
      <c r="D68" s="422" t="s">
        <v>31</v>
      </c>
      <c r="E68" s="422" t="s">
        <v>48</v>
      </c>
      <c r="F68" s="519" t="s">
        <v>186</v>
      </c>
      <c r="G68" s="519"/>
      <c r="H68" s="373" t="s">
        <v>32</v>
      </c>
      <c r="I68" s="374">
        <v>2.6800000000000001E-2</v>
      </c>
      <c r="J68" s="374"/>
      <c r="K68" s="375">
        <v>17.43</v>
      </c>
      <c r="L68" s="375">
        <v>0.46</v>
      </c>
    </row>
    <row r="69" spans="2:12" ht="15" x14ac:dyDescent="0.25">
      <c r="B69" s="424"/>
      <c r="C69" s="424"/>
      <c r="D69" s="424"/>
      <c r="E69" s="424"/>
      <c r="F69" s="424"/>
      <c r="G69" s="380"/>
      <c r="H69" s="424"/>
      <c r="I69" s="380"/>
      <c r="J69" s="424"/>
      <c r="K69" s="380"/>
      <c r="L69"/>
    </row>
    <row r="70" spans="2:12" ht="15.75" thickBot="1" x14ac:dyDescent="0.3">
      <c r="B70" s="424"/>
      <c r="C70" s="424"/>
      <c r="D70" s="424"/>
      <c r="E70" s="424"/>
      <c r="F70" s="424"/>
      <c r="G70" s="380"/>
      <c r="H70" s="424"/>
      <c r="I70" s="516"/>
      <c r="J70" s="516"/>
      <c r="K70" s="380"/>
      <c r="L70"/>
    </row>
    <row r="71" spans="2:12" ht="13.5" thickTop="1" x14ac:dyDescent="0.25">
      <c r="B71" s="381"/>
      <c r="C71" s="381"/>
      <c r="D71" s="381"/>
      <c r="E71" s="381"/>
      <c r="F71" s="381"/>
      <c r="G71" s="381"/>
      <c r="H71" s="381"/>
      <c r="I71" s="381"/>
      <c r="J71" s="381"/>
      <c r="K71" s="381"/>
      <c r="L71" s="381"/>
    </row>
    <row r="72" spans="2:12" ht="15" x14ac:dyDescent="0.25">
      <c r="B72" s="420" t="s">
        <v>249</v>
      </c>
      <c r="C72" s="366" t="s">
        <v>0</v>
      </c>
      <c r="D72" s="420" t="s">
        <v>183</v>
      </c>
      <c r="E72" s="420" t="s">
        <v>82</v>
      </c>
      <c r="F72" s="517" t="s">
        <v>1</v>
      </c>
      <c r="G72" s="517"/>
      <c r="H72" s="367" t="s">
        <v>3</v>
      </c>
      <c r="I72" s="366" t="s">
        <v>184</v>
      </c>
      <c r="J72" s="366" t="s">
        <v>1426</v>
      </c>
      <c r="K72" s="366" t="s">
        <v>185</v>
      </c>
      <c r="L72" s="366" t="s">
        <v>4</v>
      </c>
    </row>
    <row r="73" spans="2:12" ht="25.5" x14ac:dyDescent="0.25">
      <c r="B73" s="421" t="s">
        <v>7</v>
      </c>
      <c r="C73" s="368" t="s">
        <v>731</v>
      </c>
      <c r="D73" s="421" t="s">
        <v>124</v>
      </c>
      <c r="E73" s="421" t="s">
        <v>726</v>
      </c>
      <c r="F73" s="518" t="s">
        <v>199</v>
      </c>
      <c r="G73" s="518"/>
      <c r="H73" s="369" t="s">
        <v>2</v>
      </c>
      <c r="I73" s="370">
        <v>1</v>
      </c>
      <c r="J73" s="371"/>
      <c r="K73" s="371">
        <v>329.66</v>
      </c>
      <c r="L73" s="371">
        <v>329.66</v>
      </c>
    </row>
    <row r="74" spans="2:12" ht="38.25" x14ac:dyDescent="0.25">
      <c r="B74" s="422" t="s">
        <v>187</v>
      </c>
      <c r="C74" s="372" t="s">
        <v>313</v>
      </c>
      <c r="D74" s="422" t="s">
        <v>31</v>
      </c>
      <c r="E74" s="422" t="s">
        <v>314</v>
      </c>
      <c r="F74" s="519" t="s">
        <v>186</v>
      </c>
      <c r="G74" s="519"/>
      <c r="H74" s="373" t="s">
        <v>32</v>
      </c>
      <c r="I74" s="374">
        <v>1</v>
      </c>
      <c r="J74" s="374"/>
      <c r="K74" s="375">
        <v>22.1</v>
      </c>
      <c r="L74" s="375">
        <v>22.1</v>
      </c>
    </row>
    <row r="75" spans="2:12" ht="38.25" x14ac:dyDescent="0.25">
      <c r="B75" s="422" t="s">
        <v>187</v>
      </c>
      <c r="C75" s="372" t="s">
        <v>201</v>
      </c>
      <c r="D75" s="422" t="s">
        <v>31</v>
      </c>
      <c r="E75" s="422" t="s">
        <v>48</v>
      </c>
      <c r="F75" s="519" t="s">
        <v>186</v>
      </c>
      <c r="G75" s="519"/>
      <c r="H75" s="373" t="s">
        <v>32</v>
      </c>
      <c r="I75" s="374">
        <v>2</v>
      </c>
      <c r="J75" s="374"/>
      <c r="K75" s="375">
        <v>17.43</v>
      </c>
      <c r="L75" s="375">
        <v>34.86</v>
      </c>
    </row>
    <row r="76" spans="2:12" ht="38.25" x14ac:dyDescent="0.25">
      <c r="B76" s="422" t="s">
        <v>187</v>
      </c>
      <c r="C76" s="372" t="s">
        <v>312</v>
      </c>
      <c r="D76" s="422" t="s">
        <v>31</v>
      </c>
      <c r="E76" s="422" t="s">
        <v>787</v>
      </c>
      <c r="F76" s="519" t="s">
        <v>200</v>
      </c>
      <c r="G76" s="519"/>
      <c r="H76" s="373" t="s">
        <v>8</v>
      </c>
      <c r="I76" s="374">
        <v>0.01</v>
      </c>
      <c r="J76" s="374"/>
      <c r="K76" s="375">
        <v>396.46</v>
      </c>
      <c r="L76" s="375">
        <v>3.96</v>
      </c>
    </row>
    <row r="77" spans="2:12" ht="38.25" x14ac:dyDescent="0.25">
      <c r="B77" s="423" t="s">
        <v>188</v>
      </c>
      <c r="C77" s="376" t="s">
        <v>318</v>
      </c>
      <c r="D77" s="423" t="s">
        <v>31</v>
      </c>
      <c r="E77" s="423" t="s">
        <v>319</v>
      </c>
      <c r="F77" s="515" t="s">
        <v>198</v>
      </c>
      <c r="G77" s="515"/>
      <c r="H77" s="377" t="s">
        <v>35</v>
      </c>
      <c r="I77" s="378">
        <v>1</v>
      </c>
      <c r="J77" s="378"/>
      <c r="K77" s="379">
        <v>3.67</v>
      </c>
      <c r="L77" s="379">
        <v>3.67</v>
      </c>
    </row>
    <row r="78" spans="2:12" ht="38.25" x14ac:dyDescent="0.25">
      <c r="B78" s="423" t="s">
        <v>188</v>
      </c>
      <c r="C78" s="376" t="s">
        <v>315</v>
      </c>
      <c r="D78" s="423" t="s">
        <v>31</v>
      </c>
      <c r="E78" s="423" t="s">
        <v>316</v>
      </c>
      <c r="F78" s="515" t="s">
        <v>198</v>
      </c>
      <c r="G78" s="515"/>
      <c r="H78" s="377" t="s">
        <v>35</v>
      </c>
      <c r="I78" s="378">
        <v>4</v>
      </c>
      <c r="J78" s="378"/>
      <c r="K78" s="379">
        <v>9.41</v>
      </c>
      <c r="L78" s="379">
        <v>37.64</v>
      </c>
    </row>
    <row r="79" spans="2:12" ht="38.25" x14ac:dyDescent="0.25">
      <c r="B79" s="423" t="s">
        <v>188</v>
      </c>
      <c r="C79" s="376" t="s">
        <v>317</v>
      </c>
      <c r="D79" s="423" t="s">
        <v>31</v>
      </c>
      <c r="E79" s="423" t="s">
        <v>1063</v>
      </c>
      <c r="F79" s="515" t="s">
        <v>198</v>
      </c>
      <c r="G79" s="515"/>
      <c r="H79" s="377" t="s">
        <v>2</v>
      </c>
      <c r="I79" s="378">
        <v>1</v>
      </c>
      <c r="J79" s="378"/>
      <c r="K79" s="379">
        <v>225</v>
      </c>
      <c r="L79" s="379">
        <v>225</v>
      </c>
    </row>
    <row r="80" spans="2:12" ht="38.25" x14ac:dyDescent="0.25">
      <c r="B80" s="423" t="s">
        <v>188</v>
      </c>
      <c r="C80" s="376" t="s">
        <v>213</v>
      </c>
      <c r="D80" s="423" t="s">
        <v>31</v>
      </c>
      <c r="E80" s="423" t="s">
        <v>214</v>
      </c>
      <c r="F80" s="515" t="s">
        <v>198</v>
      </c>
      <c r="G80" s="515"/>
      <c r="H80" s="377" t="s">
        <v>34</v>
      </c>
      <c r="I80" s="378">
        <v>0.11</v>
      </c>
      <c r="J80" s="378"/>
      <c r="K80" s="379">
        <v>22.13</v>
      </c>
      <c r="L80" s="379">
        <v>2.4300000000000002</v>
      </c>
    </row>
    <row r="81" spans="2:12" ht="15" x14ac:dyDescent="0.25">
      <c r="B81" s="424"/>
      <c r="C81" s="424"/>
      <c r="D81" s="424"/>
      <c r="E81" s="424"/>
      <c r="F81" s="424"/>
      <c r="G81" s="380"/>
      <c r="H81" s="424"/>
      <c r="I81" s="380"/>
      <c r="J81" s="424"/>
      <c r="K81" s="380"/>
      <c r="L81"/>
    </row>
    <row r="82" spans="2:12" ht="15.75" thickBot="1" x14ac:dyDescent="0.3">
      <c r="B82" s="424"/>
      <c r="C82" s="424"/>
      <c r="D82" s="424"/>
      <c r="E82" s="424"/>
      <c r="F82" s="424"/>
      <c r="G82" s="380"/>
      <c r="H82" s="424"/>
      <c r="I82" s="516"/>
      <c r="J82" s="516"/>
      <c r="K82" s="380"/>
      <c r="L82"/>
    </row>
    <row r="83" spans="2:12" ht="13.5" thickTop="1" x14ac:dyDescent="0.25">
      <c r="B83" s="381"/>
      <c r="C83" s="381"/>
      <c r="D83" s="381"/>
      <c r="E83" s="381"/>
      <c r="F83" s="381"/>
      <c r="G83" s="381"/>
      <c r="H83" s="381"/>
      <c r="I83" s="381"/>
      <c r="J83" s="381"/>
      <c r="K83" s="381"/>
      <c r="L83" s="381"/>
    </row>
    <row r="84" spans="2:12" ht="15" x14ac:dyDescent="0.25">
      <c r="B84" s="420" t="s">
        <v>1271</v>
      </c>
      <c r="C84" s="366" t="s">
        <v>0</v>
      </c>
      <c r="D84" s="420" t="s">
        <v>183</v>
      </c>
      <c r="E84" s="420" t="s">
        <v>82</v>
      </c>
      <c r="F84" s="517" t="s">
        <v>1</v>
      </c>
      <c r="G84" s="517"/>
      <c r="H84" s="367" t="s">
        <v>3</v>
      </c>
      <c r="I84" s="366" t="s">
        <v>184</v>
      </c>
      <c r="J84" s="366" t="s">
        <v>1426</v>
      </c>
      <c r="K84" s="366" t="s">
        <v>185</v>
      </c>
      <c r="L84" s="366" t="s">
        <v>4</v>
      </c>
    </row>
    <row r="85" spans="2:12" ht="25.5" x14ac:dyDescent="0.25">
      <c r="B85" s="421" t="s">
        <v>7</v>
      </c>
      <c r="C85" s="368" t="s">
        <v>1272</v>
      </c>
      <c r="D85" s="421" t="s">
        <v>124</v>
      </c>
      <c r="E85" s="421" t="s">
        <v>1273</v>
      </c>
      <c r="F85" s="518" t="s">
        <v>199</v>
      </c>
      <c r="G85" s="518"/>
      <c r="H85" s="369" t="s">
        <v>22</v>
      </c>
      <c r="I85" s="370">
        <v>1</v>
      </c>
      <c r="J85" s="371"/>
      <c r="K85" s="371">
        <v>233.43</v>
      </c>
      <c r="L85" s="371">
        <v>233.43</v>
      </c>
    </row>
    <row r="86" spans="2:12" x14ac:dyDescent="0.25">
      <c r="B86" s="423" t="s">
        <v>188</v>
      </c>
      <c r="C86" s="376" t="s">
        <v>1274</v>
      </c>
      <c r="D86" s="423" t="s">
        <v>124</v>
      </c>
      <c r="E86" s="423" t="s">
        <v>1273</v>
      </c>
      <c r="F86" s="515" t="s">
        <v>1275</v>
      </c>
      <c r="G86" s="515"/>
      <c r="H86" s="377" t="s">
        <v>22</v>
      </c>
      <c r="I86" s="378">
        <v>1</v>
      </c>
      <c r="J86" s="378"/>
      <c r="K86" s="379">
        <v>233.43</v>
      </c>
      <c r="L86" s="379">
        <v>233.43</v>
      </c>
    </row>
    <row r="87" spans="2:12" ht="15" x14ac:dyDescent="0.25">
      <c r="B87" s="424"/>
      <c r="C87" s="424"/>
      <c r="D87" s="424"/>
      <c r="E87" s="424"/>
      <c r="F87" s="424"/>
      <c r="G87" s="380"/>
      <c r="H87" s="424"/>
      <c r="I87" s="380"/>
      <c r="J87" s="424"/>
      <c r="K87" s="380"/>
      <c r="L87"/>
    </row>
    <row r="88" spans="2:12" ht="15.75" thickBot="1" x14ac:dyDescent="0.3">
      <c r="B88" s="424"/>
      <c r="C88" s="424"/>
      <c r="D88" s="424"/>
      <c r="E88" s="424"/>
      <c r="F88" s="424"/>
      <c r="G88" s="380"/>
      <c r="H88" s="424"/>
      <c r="I88" s="516"/>
      <c r="J88" s="516"/>
      <c r="K88" s="380"/>
      <c r="L88"/>
    </row>
    <row r="89" spans="2:12" ht="13.5" thickTop="1" x14ac:dyDescent="0.25">
      <c r="B89" s="381"/>
      <c r="C89" s="381"/>
      <c r="D89" s="381"/>
      <c r="E89" s="381"/>
      <c r="F89" s="381"/>
      <c r="G89" s="381"/>
      <c r="H89" s="381"/>
      <c r="I89" s="381"/>
      <c r="J89" s="381"/>
      <c r="K89" s="381"/>
      <c r="L89" s="381"/>
    </row>
    <row r="90" spans="2:12" ht="15" x14ac:dyDescent="0.25">
      <c r="B90" s="420" t="s">
        <v>128</v>
      </c>
      <c r="C90" s="366" t="s">
        <v>0</v>
      </c>
      <c r="D90" s="420" t="s">
        <v>183</v>
      </c>
      <c r="E90" s="420" t="s">
        <v>82</v>
      </c>
      <c r="F90" s="517" t="s">
        <v>1</v>
      </c>
      <c r="G90" s="517"/>
      <c r="H90" s="367" t="s">
        <v>3</v>
      </c>
      <c r="I90" s="366" t="s">
        <v>184</v>
      </c>
      <c r="J90" s="366" t="s">
        <v>1426</v>
      </c>
      <c r="K90" s="366" t="s">
        <v>185</v>
      </c>
      <c r="L90" s="366" t="s">
        <v>4</v>
      </c>
    </row>
    <row r="91" spans="2:12" ht="25.5" x14ac:dyDescent="0.25">
      <c r="B91" s="421" t="s">
        <v>7</v>
      </c>
      <c r="C91" s="368" t="s">
        <v>732</v>
      </c>
      <c r="D91" s="421" t="s">
        <v>212</v>
      </c>
      <c r="E91" s="421" t="s">
        <v>719</v>
      </c>
      <c r="F91" s="518" t="s">
        <v>1276</v>
      </c>
      <c r="G91" s="518"/>
      <c r="H91" s="369" t="s">
        <v>2</v>
      </c>
      <c r="I91" s="370">
        <v>1</v>
      </c>
      <c r="J91" s="371"/>
      <c r="K91" s="371">
        <v>11.65</v>
      </c>
      <c r="L91" s="371">
        <v>11.65</v>
      </c>
    </row>
    <row r="92" spans="2:12" ht="38.25" x14ac:dyDescent="0.25">
      <c r="B92" s="422" t="s">
        <v>187</v>
      </c>
      <c r="C92" s="372" t="s">
        <v>201</v>
      </c>
      <c r="D92" s="422" t="s">
        <v>31</v>
      </c>
      <c r="E92" s="422" t="s">
        <v>48</v>
      </c>
      <c r="F92" s="519" t="s">
        <v>186</v>
      </c>
      <c r="G92" s="519"/>
      <c r="H92" s="373" t="s">
        <v>32</v>
      </c>
      <c r="I92" s="374">
        <v>0.433</v>
      </c>
      <c r="J92" s="374"/>
      <c r="K92" s="375">
        <v>17.43</v>
      </c>
      <c r="L92" s="375">
        <v>7.54</v>
      </c>
    </row>
    <row r="93" spans="2:12" ht="38.25" x14ac:dyDescent="0.25">
      <c r="B93" s="422" t="s">
        <v>187</v>
      </c>
      <c r="C93" s="372" t="s">
        <v>313</v>
      </c>
      <c r="D93" s="422" t="s">
        <v>31</v>
      </c>
      <c r="E93" s="422" t="s">
        <v>314</v>
      </c>
      <c r="F93" s="519" t="s">
        <v>186</v>
      </c>
      <c r="G93" s="519"/>
      <c r="H93" s="373" t="s">
        <v>32</v>
      </c>
      <c r="I93" s="374">
        <v>0.186</v>
      </c>
      <c r="J93" s="374"/>
      <c r="K93" s="375">
        <v>22.1</v>
      </c>
      <c r="L93" s="375">
        <v>4.1100000000000003</v>
      </c>
    </row>
    <row r="94" spans="2:12" ht="15" x14ac:dyDescent="0.25">
      <c r="B94" s="424"/>
      <c r="C94" s="424"/>
      <c r="D94" s="424"/>
      <c r="E94" s="424"/>
      <c r="F94" s="424"/>
      <c r="G94" s="380"/>
      <c r="H94" s="424"/>
      <c r="I94" s="380"/>
      <c r="J94" s="424"/>
      <c r="K94" s="380"/>
      <c r="L94"/>
    </row>
    <row r="95" spans="2:12" ht="15.75" thickBot="1" x14ac:dyDescent="0.3">
      <c r="B95" s="424"/>
      <c r="C95" s="424"/>
      <c r="D95" s="424"/>
      <c r="E95" s="424"/>
      <c r="F95" s="424"/>
      <c r="G95" s="380"/>
      <c r="H95" s="424"/>
      <c r="I95" s="516"/>
      <c r="J95" s="516"/>
      <c r="K95" s="380"/>
      <c r="L95"/>
    </row>
    <row r="96" spans="2:12" ht="13.5" thickTop="1" x14ac:dyDescent="0.25">
      <c r="B96" s="381"/>
      <c r="C96" s="381"/>
      <c r="D96" s="381"/>
      <c r="E96" s="381"/>
      <c r="F96" s="381"/>
      <c r="G96" s="381"/>
      <c r="H96" s="381"/>
      <c r="I96" s="381"/>
      <c r="J96" s="381"/>
      <c r="K96" s="381"/>
      <c r="L96" s="381"/>
    </row>
    <row r="97" spans="2:12" ht="15" x14ac:dyDescent="0.25">
      <c r="B97" s="420" t="s">
        <v>129</v>
      </c>
      <c r="C97" s="366" t="s">
        <v>0</v>
      </c>
      <c r="D97" s="420" t="s">
        <v>183</v>
      </c>
      <c r="E97" s="420" t="s">
        <v>82</v>
      </c>
      <c r="F97" s="517" t="s">
        <v>1</v>
      </c>
      <c r="G97" s="517"/>
      <c r="H97" s="367" t="s">
        <v>3</v>
      </c>
      <c r="I97" s="366" t="s">
        <v>184</v>
      </c>
      <c r="J97" s="366" t="s">
        <v>1426</v>
      </c>
      <c r="K97" s="366" t="s">
        <v>185</v>
      </c>
      <c r="L97" s="366" t="s">
        <v>4</v>
      </c>
    </row>
    <row r="98" spans="2:12" ht="25.5" x14ac:dyDescent="0.25">
      <c r="B98" s="421" t="s">
        <v>7</v>
      </c>
      <c r="C98" s="368" t="s">
        <v>398</v>
      </c>
      <c r="D98" s="421" t="s">
        <v>212</v>
      </c>
      <c r="E98" s="421" t="s">
        <v>399</v>
      </c>
      <c r="F98" s="518" t="s">
        <v>1277</v>
      </c>
      <c r="G98" s="518"/>
      <c r="H98" s="369" t="s">
        <v>22</v>
      </c>
      <c r="I98" s="370">
        <v>1</v>
      </c>
      <c r="J98" s="371"/>
      <c r="K98" s="371">
        <v>350</v>
      </c>
      <c r="L98" s="371">
        <v>350</v>
      </c>
    </row>
    <row r="99" spans="2:12" x14ac:dyDescent="0.25">
      <c r="B99" s="423" t="s">
        <v>188</v>
      </c>
      <c r="C99" s="376" t="s">
        <v>400</v>
      </c>
      <c r="D99" s="423" t="s">
        <v>212</v>
      </c>
      <c r="E99" s="423" t="s">
        <v>401</v>
      </c>
      <c r="F99" s="515" t="s">
        <v>198</v>
      </c>
      <c r="G99" s="515"/>
      <c r="H99" s="377" t="s">
        <v>22</v>
      </c>
      <c r="I99" s="378">
        <v>1</v>
      </c>
      <c r="J99" s="378"/>
      <c r="K99" s="379">
        <v>350</v>
      </c>
      <c r="L99" s="379">
        <v>350</v>
      </c>
    </row>
    <row r="100" spans="2:12" ht="15" x14ac:dyDescent="0.25">
      <c r="B100" s="424"/>
      <c r="C100" s="424"/>
      <c r="D100" s="424"/>
      <c r="E100" s="424"/>
      <c r="F100" s="424"/>
      <c r="G100" s="380"/>
      <c r="H100" s="424"/>
      <c r="I100" s="380"/>
      <c r="J100" s="424"/>
      <c r="K100" s="380"/>
      <c r="L100"/>
    </row>
    <row r="101" spans="2:12" ht="15.75" thickBot="1" x14ac:dyDescent="0.3">
      <c r="B101" s="424"/>
      <c r="C101" s="424"/>
      <c r="D101" s="424"/>
      <c r="E101" s="424"/>
      <c r="F101" s="424"/>
      <c r="G101" s="380"/>
      <c r="H101" s="424"/>
      <c r="I101" s="516"/>
      <c r="J101" s="516"/>
      <c r="K101" s="380"/>
      <c r="L101"/>
    </row>
    <row r="102" spans="2:12" ht="13.5" thickTop="1" x14ac:dyDescent="0.25">
      <c r="B102" s="381"/>
      <c r="C102" s="381"/>
      <c r="D102" s="381"/>
      <c r="E102" s="381"/>
      <c r="F102" s="381"/>
      <c r="G102" s="381"/>
      <c r="H102" s="381"/>
      <c r="I102" s="381"/>
      <c r="J102" s="381"/>
      <c r="K102" s="381"/>
      <c r="L102" s="381"/>
    </row>
    <row r="103" spans="2:12" ht="15" x14ac:dyDescent="0.25">
      <c r="B103" s="420" t="s">
        <v>1427</v>
      </c>
      <c r="C103" s="366" t="s">
        <v>0</v>
      </c>
      <c r="D103" s="420" t="s">
        <v>183</v>
      </c>
      <c r="E103" s="420" t="s">
        <v>82</v>
      </c>
      <c r="F103" s="517" t="s">
        <v>1</v>
      </c>
      <c r="G103" s="517"/>
      <c r="H103" s="367" t="s">
        <v>3</v>
      </c>
      <c r="I103" s="366" t="s">
        <v>184</v>
      </c>
      <c r="J103" s="366" t="s">
        <v>1426</v>
      </c>
      <c r="K103" s="366" t="s">
        <v>185</v>
      </c>
      <c r="L103" s="366" t="s">
        <v>4</v>
      </c>
    </row>
    <row r="104" spans="2:12" ht="25.5" x14ac:dyDescent="0.25">
      <c r="B104" s="421" t="s">
        <v>7</v>
      </c>
      <c r="C104" s="368" t="s">
        <v>1320</v>
      </c>
      <c r="D104" s="421" t="s">
        <v>31</v>
      </c>
      <c r="E104" s="421" t="s">
        <v>1321</v>
      </c>
      <c r="F104" s="518" t="s">
        <v>1334</v>
      </c>
      <c r="G104" s="518"/>
      <c r="H104" s="369" t="s">
        <v>22</v>
      </c>
      <c r="I104" s="370">
        <v>1</v>
      </c>
      <c r="J104" s="371"/>
      <c r="K104" s="371">
        <v>1.03</v>
      </c>
      <c r="L104" s="371">
        <v>1.03</v>
      </c>
    </row>
    <row r="105" spans="2:12" ht="38.25" x14ac:dyDescent="0.25">
      <c r="B105" s="422" t="s">
        <v>187</v>
      </c>
      <c r="C105" s="372" t="s">
        <v>218</v>
      </c>
      <c r="D105" s="422" t="s">
        <v>31</v>
      </c>
      <c r="E105" s="422" t="s">
        <v>219</v>
      </c>
      <c r="F105" s="519" t="s">
        <v>186</v>
      </c>
      <c r="G105" s="519"/>
      <c r="H105" s="373" t="s">
        <v>32</v>
      </c>
      <c r="I105" s="374">
        <v>1.83E-2</v>
      </c>
      <c r="J105" s="374"/>
      <c r="K105" s="375">
        <v>22.58</v>
      </c>
      <c r="L105" s="375">
        <v>0.41</v>
      </c>
    </row>
    <row r="106" spans="2:12" ht="38.25" x14ac:dyDescent="0.25">
      <c r="B106" s="422" t="s">
        <v>187</v>
      </c>
      <c r="C106" s="372" t="s">
        <v>201</v>
      </c>
      <c r="D106" s="422" t="s">
        <v>31</v>
      </c>
      <c r="E106" s="422" t="s">
        <v>48</v>
      </c>
      <c r="F106" s="519" t="s">
        <v>186</v>
      </c>
      <c r="G106" s="519"/>
      <c r="H106" s="373" t="s">
        <v>32</v>
      </c>
      <c r="I106" s="374">
        <v>3.5900000000000001E-2</v>
      </c>
      <c r="J106" s="374"/>
      <c r="K106" s="375">
        <v>17.43</v>
      </c>
      <c r="L106" s="375">
        <v>0.62</v>
      </c>
    </row>
    <row r="107" spans="2:12" ht="15" x14ac:dyDescent="0.25">
      <c r="B107" s="424"/>
      <c r="C107" s="424"/>
      <c r="D107" s="424"/>
      <c r="E107" s="424"/>
      <c r="F107" s="424"/>
      <c r="G107" s="380"/>
      <c r="H107" s="424"/>
      <c r="I107" s="380"/>
      <c r="J107" s="424"/>
      <c r="K107" s="380"/>
      <c r="L107"/>
    </row>
    <row r="108" spans="2:12" ht="15.75" thickBot="1" x14ac:dyDescent="0.3">
      <c r="B108" s="424"/>
      <c r="C108" s="424"/>
      <c r="D108" s="424"/>
      <c r="E108" s="424"/>
      <c r="F108" s="424"/>
      <c r="G108" s="380"/>
      <c r="H108" s="424"/>
      <c r="I108" s="516"/>
      <c r="J108" s="516"/>
      <c r="K108" s="380"/>
      <c r="L108"/>
    </row>
    <row r="109" spans="2:12" ht="13.5" thickTop="1" x14ac:dyDescent="0.25">
      <c r="B109" s="381"/>
      <c r="C109" s="381"/>
      <c r="D109" s="381"/>
      <c r="E109" s="381"/>
      <c r="F109" s="381"/>
      <c r="G109" s="381"/>
      <c r="H109" s="381"/>
      <c r="I109" s="381"/>
      <c r="J109" s="381"/>
      <c r="K109" s="381"/>
      <c r="L109" s="381"/>
    </row>
    <row r="110" spans="2:12" ht="15" x14ac:dyDescent="0.25">
      <c r="B110" s="420" t="s">
        <v>1428</v>
      </c>
      <c r="C110" s="366" t="s">
        <v>0</v>
      </c>
      <c r="D110" s="420" t="s">
        <v>183</v>
      </c>
      <c r="E110" s="420" t="s">
        <v>82</v>
      </c>
      <c r="F110" s="517" t="s">
        <v>1</v>
      </c>
      <c r="G110" s="517"/>
      <c r="H110" s="367" t="s">
        <v>3</v>
      </c>
      <c r="I110" s="366" t="s">
        <v>184</v>
      </c>
      <c r="J110" s="366" t="s">
        <v>1426</v>
      </c>
      <c r="K110" s="366" t="s">
        <v>185</v>
      </c>
      <c r="L110" s="366" t="s">
        <v>4</v>
      </c>
    </row>
    <row r="111" spans="2:12" ht="38.25" x14ac:dyDescent="0.25">
      <c r="B111" s="421" t="s">
        <v>7</v>
      </c>
      <c r="C111" s="368" t="s">
        <v>1323</v>
      </c>
      <c r="D111" s="421" t="s">
        <v>264</v>
      </c>
      <c r="E111" s="421" t="s">
        <v>1335</v>
      </c>
      <c r="F111" s="518">
        <v>4.2</v>
      </c>
      <c r="G111" s="518"/>
      <c r="H111" s="369" t="s">
        <v>22</v>
      </c>
      <c r="I111" s="370">
        <v>1</v>
      </c>
      <c r="J111" s="371"/>
      <c r="K111" s="371">
        <v>3.34</v>
      </c>
      <c r="L111" s="371">
        <v>3.34</v>
      </c>
    </row>
    <row r="112" spans="2:12" ht="38.25" x14ac:dyDescent="0.25">
      <c r="B112" s="423" t="s">
        <v>188</v>
      </c>
      <c r="C112" s="376" t="s">
        <v>1117</v>
      </c>
      <c r="D112" s="423" t="s">
        <v>264</v>
      </c>
      <c r="E112" s="423" t="s">
        <v>1118</v>
      </c>
      <c r="F112" s="515" t="s">
        <v>189</v>
      </c>
      <c r="G112" s="515"/>
      <c r="H112" s="377" t="s">
        <v>32</v>
      </c>
      <c r="I112" s="378">
        <v>0.2</v>
      </c>
      <c r="J112" s="378"/>
      <c r="K112" s="379">
        <v>16.739999999999998</v>
      </c>
      <c r="L112" s="379">
        <v>3.34</v>
      </c>
    </row>
    <row r="113" spans="2:12" ht="15" x14ac:dyDescent="0.25">
      <c r="B113" s="424"/>
      <c r="C113" s="424"/>
      <c r="D113" s="424"/>
      <c r="E113" s="424"/>
      <c r="F113" s="424"/>
      <c r="G113" s="380"/>
      <c r="H113" s="424"/>
      <c r="I113" s="380"/>
      <c r="J113" s="424"/>
      <c r="K113" s="380"/>
      <c r="L113"/>
    </row>
    <row r="114" spans="2:12" ht="15.75" thickBot="1" x14ac:dyDescent="0.3">
      <c r="B114" s="424"/>
      <c r="C114" s="424"/>
      <c r="D114" s="424"/>
      <c r="E114" s="424"/>
      <c r="F114" s="424"/>
      <c r="G114" s="380"/>
      <c r="H114" s="424"/>
      <c r="I114" s="516"/>
      <c r="J114" s="516"/>
      <c r="K114" s="380"/>
      <c r="L114"/>
    </row>
    <row r="115" spans="2:12" ht="13.5" thickTop="1" x14ac:dyDescent="0.25">
      <c r="B115" s="381"/>
      <c r="C115" s="381"/>
      <c r="D115" s="381"/>
      <c r="E115" s="381"/>
      <c r="F115" s="381"/>
      <c r="G115" s="381"/>
      <c r="H115" s="381"/>
      <c r="I115" s="381"/>
      <c r="J115" s="381"/>
      <c r="K115" s="381"/>
      <c r="L115" s="381"/>
    </row>
    <row r="116" spans="2:12" ht="15" x14ac:dyDescent="0.25">
      <c r="B116" s="420" t="s">
        <v>1429</v>
      </c>
      <c r="C116" s="366" t="s">
        <v>0</v>
      </c>
      <c r="D116" s="420" t="s">
        <v>183</v>
      </c>
      <c r="E116" s="420" t="s">
        <v>82</v>
      </c>
      <c r="F116" s="517" t="s">
        <v>1</v>
      </c>
      <c r="G116" s="517"/>
      <c r="H116" s="367" t="s">
        <v>3</v>
      </c>
      <c r="I116" s="366" t="s">
        <v>184</v>
      </c>
      <c r="J116" s="366" t="s">
        <v>1426</v>
      </c>
      <c r="K116" s="366" t="s">
        <v>185</v>
      </c>
      <c r="L116" s="366" t="s">
        <v>4</v>
      </c>
    </row>
    <row r="117" spans="2:12" ht="25.5" x14ac:dyDescent="0.25">
      <c r="B117" s="421" t="s">
        <v>7</v>
      </c>
      <c r="C117" s="368" t="s">
        <v>1326</v>
      </c>
      <c r="D117" s="421" t="s">
        <v>31</v>
      </c>
      <c r="E117" s="421" t="s">
        <v>1327</v>
      </c>
      <c r="F117" s="518" t="s">
        <v>1334</v>
      </c>
      <c r="G117" s="518"/>
      <c r="H117" s="369" t="s">
        <v>22</v>
      </c>
      <c r="I117" s="370">
        <v>1</v>
      </c>
      <c r="J117" s="371"/>
      <c r="K117" s="371">
        <v>0.53</v>
      </c>
      <c r="L117" s="371">
        <v>0.53</v>
      </c>
    </row>
    <row r="118" spans="2:12" ht="38.25" x14ac:dyDescent="0.25">
      <c r="B118" s="422" t="s">
        <v>187</v>
      </c>
      <c r="C118" s="372" t="s">
        <v>218</v>
      </c>
      <c r="D118" s="422" t="s">
        <v>31</v>
      </c>
      <c r="E118" s="422" t="s">
        <v>219</v>
      </c>
      <c r="F118" s="519" t="s">
        <v>186</v>
      </c>
      <c r="G118" s="519"/>
      <c r="H118" s="373" t="s">
        <v>32</v>
      </c>
      <c r="I118" s="374">
        <v>9.4999999999999998E-3</v>
      </c>
      <c r="J118" s="374"/>
      <c r="K118" s="375">
        <v>22.58</v>
      </c>
      <c r="L118" s="375">
        <v>0.21</v>
      </c>
    </row>
    <row r="119" spans="2:12" ht="38.25" x14ac:dyDescent="0.25">
      <c r="B119" s="422" t="s">
        <v>187</v>
      </c>
      <c r="C119" s="372" t="s">
        <v>201</v>
      </c>
      <c r="D119" s="422" t="s">
        <v>31</v>
      </c>
      <c r="E119" s="422" t="s">
        <v>48</v>
      </c>
      <c r="F119" s="519" t="s">
        <v>186</v>
      </c>
      <c r="G119" s="519"/>
      <c r="H119" s="373" t="s">
        <v>32</v>
      </c>
      <c r="I119" s="374">
        <v>1.8700000000000001E-2</v>
      </c>
      <c r="J119" s="374"/>
      <c r="K119" s="375">
        <v>17.43</v>
      </c>
      <c r="L119" s="375">
        <v>0.32</v>
      </c>
    </row>
    <row r="120" spans="2:12" ht="15" x14ac:dyDescent="0.25">
      <c r="B120" s="424"/>
      <c r="C120" s="424"/>
      <c r="D120" s="424"/>
      <c r="E120" s="424"/>
      <c r="F120" s="424"/>
      <c r="G120" s="380"/>
      <c r="H120" s="424"/>
      <c r="I120" s="380"/>
      <c r="J120" s="424"/>
      <c r="K120" s="380"/>
      <c r="L120"/>
    </row>
    <row r="121" spans="2:12" ht="15.75" thickBot="1" x14ac:dyDescent="0.3">
      <c r="B121" s="424"/>
      <c r="C121" s="424"/>
      <c r="D121" s="424"/>
      <c r="E121" s="424"/>
      <c r="F121" s="424"/>
      <c r="G121" s="380"/>
      <c r="H121" s="424"/>
      <c r="I121" s="516"/>
      <c r="J121" s="516"/>
      <c r="K121" s="380"/>
      <c r="L121"/>
    </row>
    <row r="122" spans="2:12" ht="13.5" thickTop="1" x14ac:dyDescent="0.25">
      <c r="B122" s="381"/>
      <c r="C122" s="381"/>
      <c r="D122" s="381"/>
      <c r="E122" s="381"/>
      <c r="F122" s="381"/>
      <c r="G122" s="381"/>
      <c r="H122" s="381"/>
      <c r="I122" s="381"/>
      <c r="J122" s="381"/>
      <c r="K122" s="381"/>
      <c r="L122" s="381"/>
    </row>
    <row r="123" spans="2:12" ht="15" x14ac:dyDescent="0.25">
      <c r="B123" s="420" t="s">
        <v>1430</v>
      </c>
      <c r="C123" s="366" t="s">
        <v>0</v>
      </c>
      <c r="D123" s="420" t="s">
        <v>183</v>
      </c>
      <c r="E123" s="420" t="s">
        <v>82</v>
      </c>
      <c r="F123" s="517" t="s">
        <v>1</v>
      </c>
      <c r="G123" s="517"/>
      <c r="H123" s="367" t="s">
        <v>3</v>
      </c>
      <c r="I123" s="366" t="s">
        <v>184</v>
      </c>
      <c r="J123" s="366" t="s">
        <v>1426</v>
      </c>
      <c r="K123" s="366" t="s">
        <v>185</v>
      </c>
      <c r="L123" s="366" t="s">
        <v>4</v>
      </c>
    </row>
    <row r="124" spans="2:12" ht="51" x14ac:dyDescent="0.25">
      <c r="B124" s="421" t="s">
        <v>7</v>
      </c>
      <c r="C124" s="368" t="s">
        <v>1354</v>
      </c>
      <c r="D124" s="421" t="s">
        <v>124</v>
      </c>
      <c r="E124" s="421" t="s">
        <v>1355</v>
      </c>
      <c r="F124" s="518" t="s">
        <v>1122</v>
      </c>
      <c r="G124" s="518"/>
      <c r="H124" s="369" t="s">
        <v>35</v>
      </c>
      <c r="I124" s="370">
        <v>1</v>
      </c>
      <c r="J124" s="371"/>
      <c r="K124" s="371">
        <v>0.37</v>
      </c>
      <c r="L124" s="371">
        <v>0.37</v>
      </c>
    </row>
    <row r="125" spans="2:12" ht="38.25" x14ac:dyDescent="0.25">
      <c r="B125" s="422" t="s">
        <v>187</v>
      </c>
      <c r="C125" s="372" t="s">
        <v>218</v>
      </c>
      <c r="D125" s="422" t="s">
        <v>31</v>
      </c>
      <c r="E125" s="422" t="s">
        <v>219</v>
      </c>
      <c r="F125" s="519" t="s">
        <v>186</v>
      </c>
      <c r="G125" s="519"/>
      <c r="H125" s="373" t="s">
        <v>32</v>
      </c>
      <c r="I125" s="374">
        <v>9.5999999999999992E-3</v>
      </c>
      <c r="J125" s="374"/>
      <c r="K125" s="375">
        <v>22.58</v>
      </c>
      <c r="L125" s="375">
        <v>0.21</v>
      </c>
    </row>
    <row r="126" spans="2:12" ht="38.25" x14ac:dyDescent="0.25">
      <c r="B126" s="422" t="s">
        <v>187</v>
      </c>
      <c r="C126" s="372" t="s">
        <v>201</v>
      </c>
      <c r="D126" s="422" t="s">
        <v>31</v>
      </c>
      <c r="E126" s="422" t="s">
        <v>48</v>
      </c>
      <c r="F126" s="519" t="s">
        <v>186</v>
      </c>
      <c r="G126" s="519"/>
      <c r="H126" s="373" t="s">
        <v>32</v>
      </c>
      <c r="I126" s="374">
        <v>9.5999999999999992E-3</v>
      </c>
      <c r="J126" s="374"/>
      <c r="K126" s="375">
        <v>17.43</v>
      </c>
      <c r="L126" s="375">
        <v>0.16</v>
      </c>
    </row>
    <row r="127" spans="2:12" ht="15" x14ac:dyDescent="0.25">
      <c r="B127" s="424"/>
      <c r="C127" s="424"/>
      <c r="D127" s="424"/>
      <c r="E127" s="424"/>
      <c r="F127" s="424"/>
      <c r="G127" s="380"/>
      <c r="H127" s="424"/>
      <c r="I127" s="380"/>
      <c r="J127" s="424"/>
      <c r="K127" s="380"/>
      <c r="L127"/>
    </row>
    <row r="128" spans="2:12" ht="15.75" thickBot="1" x14ac:dyDescent="0.3">
      <c r="B128" s="424"/>
      <c r="C128" s="424"/>
      <c r="D128" s="424"/>
      <c r="E128" s="424"/>
      <c r="F128" s="424"/>
      <c r="G128" s="380"/>
      <c r="H128" s="424"/>
      <c r="I128" s="516"/>
      <c r="J128" s="516"/>
      <c r="K128" s="380"/>
      <c r="L128"/>
    </row>
    <row r="129" spans="2:12" ht="13.5" thickTop="1" x14ac:dyDescent="0.25">
      <c r="B129" s="381"/>
      <c r="C129" s="381"/>
      <c r="D129" s="381"/>
      <c r="E129" s="381"/>
      <c r="F129" s="381"/>
      <c r="G129" s="381"/>
      <c r="H129" s="381"/>
      <c r="I129" s="381"/>
      <c r="J129" s="381"/>
      <c r="K129" s="381"/>
      <c r="L129" s="381"/>
    </row>
    <row r="130" spans="2:12" ht="15" x14ac:dyDescent="0.25">
      <c r="B130" s="420" t="s">
        <v>1431</v>
      </c>
      <c r="C130" s="366" t="s">
        <v>0</v>
      </c>
      <c r="D130" s="420" t="s">
        <v>183</v>
      </c>
      <c r="E130" s="420" t="s">
        <v>82</v>
      </c>
      <c r="F130" s="517" t="s">
        <v>1</v>
      </c>
      <c r="G130" s="517"/>
      <c r="H130" s="367" t="s">
        <v>3</v>
      </c>
      <c r="I130" s="366" t="s">
        <v>184</v>
      </c>
      <c r="J130" s="366" t="s">
        <v>1426</v>
      </c>
      <c r="K130" s="366" t="s">
        <v>185</v>
      </c>
      <c r="L130" s="366" t="s">
        <v>4</v>
      </c>
    </row>
    <row r="131" spans="2:12" ht="25.5" x14ac:dyDescent="0.25">
      <c r="B131" s="421" t="s">
        <v>7</v>
      </c>
      <c r="C131" s="368" t="s">
        <v>1330</v>
      </c>
      <c r="D131" s="421" t="s">
        <v>175</v>
      </c>
      <c r="E131" s="421" t="s">
        <v>1336</v>
      </c>
      <c r="F131" s="518" t="s">
        <v>1337</v>
      </c>
      <c r="G131" s="518"/>
      <c r="H131" s="369" t="s">
        <v>225</v>
      </c>
      <c r="I131" s="370">
        <v>1</v>
      </c>
      <c r="J131" s="371"/>
      <c r="K131" s="371">
        <v>35.21</v>
      </c>
      <c r="L131" s="371">
        <v>35.21</v>
      </c>
    </row>
    <row r="132" spans="2:12" ht="38.25" x14ac:dyDescent="0.25">
      <c r="B132" s="422" t="s">
        <v>187</v>
      </c>
      <c r="C132" s="372" t="s">
        <v>1163</v>
      </c>
      <c r="D132" s="422" t="s">
        <v>175</v>
      </c>
      <c r="E132" s="422" t="s">
        <v>1164</v>
      </c>
      <c r="F132" s="519" t="s">
        <v>1098</v>
      </c>
      <c r="G132" s="519"/>
      <c r="H132" s="373" t="s">
        <v>1099</v>
      </c>
      <c r="I132" s="374">
        <v>1</v>
      </c>
      <c r="J132" s="374"/>
      <c r="K132" s="375">
        <v>3.52</v>
      </c>
      <c r="L132" s="375">
        <v>3.52</v>
      </c>
    </row>
    <row r="133" spans="2:12" ht="38.25" x14ac:dyDescent="0.25">
      <c r="B133" s="422" t="s">
        <v>187</v>
      </c>
      <c r="C133" s="372" t="s">
        <v>1096</v>
      </c>
      <c r="D133" s="422" t="s">
        <v>175</v>
      </c>
      <c r="E133" s="422" t="s">
        <v>1097</v>
      </c>
      <c r="F133" s="519" t="s">
        <v>1098</v>
      </c>
      <c r="G133" s="519"/>
      <c r="H133" s="373" t="s">
        <v>1099</v>
      </c>
      <c r="I133" s="374">
        <v>1</v>
      </c>
      <c r="J133" s="374"/>
      <c r="K133" s="375">
        <v>3.63</v>
      </c>
      <c r="L133" s="375">
        <v>3.63</v>
      </c>
    </row>
    <row r="134" spans="2:12" ht="38.25" x14ac:dyDescent="0.25">
      <c r="B134" s="423" t="s">
        <v>188</v>
      </c>
      <c r="C134" s="376" t="s">
        <v>174</v>
      </c>
      <c r="D134" s="423" t="s">
        <v>31</v>
      </c>
      <c r="E134" s="423" t="s">
        <v>1165</v>
      </c>
      <c r="F134" s="515" t="s">
        <v>189</v>
      </c>
      <c r="G134" s="515"/>
      <c r="H134" s="377" t="s">
        <v>32</v>
      </c>
      <c r="I134" s="378">
        <v>1</v>
      </c>
      <c r="J134" s="378"/>
      <c r="K134" s="379">
        <v>16.39</v>
      </c>
      <c r="L134" s="379">
        <v>16.39</v>
      </c>
    </row>
    <row r="135" spans="2:12" ht="38.25" x14ac:dyDescent="0.25">
      <c r="B135" s="423" t="s">
        <v>188</v>
      </c>
      <c r="C135" s="376" t="s">
        <v>173</v>
      </c>
      <c r="D135" s="423" t="s">
        <v>31</v>
      </c>
      <c r="E135" s="423" t="s">
        <v>47</v>
      </c>
      <c r="F135" s="515" t="s">
        <v>189</v>
      </c>
      <c r="G135" s="515"/>
      <c r="H135" s="377" t="s">
        <v>32</v>
      </c>
      <c r="I135" s="378">
        <v>1</v>
      </c>
      <c r="J135" s="378"/>
      <c r="K135" s="379">
        <v>11.67</v>
      </c>
      <c r="L135" s="379">
        <v>11.67</v>
      </c>
    </row>
    <row r="136" spans="2:12" ht="15" x14ac:dyDescent="0.25">
      <c r="B136" s="424"/>
      <c r="C136" s="424"/>
      <c r="D136" s="424"/>
      <c r="E136" s="424"/>
      <c r="F136" s="424"/>
      <c r="G136" s="380"/>
      <c r="H136" s="424"/>
      <c r="I136" s="380"/>
      <c r="J136" s="424"/>
      <c r="K136" s="380"/>
      <c r="L136"/>
    </row>
    <row r="137" spans="2:12" ht="15.75" thickBot="1" x14ac:dyDescent="0.3">
      <c r="B137" s="424"/>
      <c r="C137" s="424"/>
      <c r="D137" s="424"/>
      <c r="E137" s="424"/>
      <c r="F137" s="424"/>
      <c r="G137" s="380"/>
      <c r="H137" s="424"/>
      <c r="I137" s="516"/>
      <c r="J137" s="516"/>
      <c r="K137" s="380"/>
      <c r="L137"/>
    </row>
    <row r="138" spans="2:12" ht="13.5" thickTop="1" x14ac:dyDescent="0.25">
      <c r="B138" s="381"/>
      <c r="C138" s="381"/>
      <c r="D138" s="381"/>
      <c r="E138" s="381"/>
      <c r="F138" s="381"/>
      <c r="G138" s="381"/>
      <c r="H138" s="381"/>
      <c r="I138" s="381"/>
      <c r="J138" s="381"/>
      <c r="K138" s="381"/>
      <c r="L138" s="381"/>
    </row>
    <row r="139" spans="2:12" ht="15" x14ac:dyDescent="0.25">
      <c r="B139" s="420" t="s">
        <v>1432</v>
      </c>
      <c r="C139" s="366" t="s">
        <v>0</v>
      </c>
      <c r="D139" s="420" t="s">
        <v>183</v>
      </c>
      <c r="E139" s="420" t="s">
        <v>82</v>
      </c>
      <c r="F139" s="517" t="s">
        <v>1</v>
      </c>
      <c r="G139" s="517"/>
      <c r="H139" s="367" t="s">
        <v>3</v>
      </c>
      <c r="I139" s="366" t="s">
        <v>184</v>
      </c>
      <c r="J139" s="366" t="s">
        <v>1426</v>
      </c>
      <c r="K139" s="366" t="s">
        <v>185</v>
      </c>
      <c r="L139" s="366" t="s">
        <v>4</v>
      </c>
    </row>
    <row r="140" spans="2:12" ht="25.5" x14ac:dyDescent="0.25">
      <c r="B140" s="421" t="s">
        <v>7</v>
      </c>
      <c r="C140" s="368" t="s">
        <v>1356</v>
      </c>
      <c r="D140" s="421" t="s">
        <v>31</v>
      </c>
      <c r="E140" s="421" t="s">
        <v>1357</v>
      </c>
      <c r="F140" s="518" t="s">
        <v>236</v>
      </c>
      <c r="G140" s="518"/>
      <c r="H140" s="369" t="s">
        <v>35</v>
      </c>
      <c r="I140" s="370">
        <v>1</v>
      </c>
      <c r="J140" s="371"/>
      <c r="K140" s="371">
        <v>5.49</v>
      </c>
      <c r="L140" s="371">
        <v>5.49</v>
      </c>
    </row>
    <row r="141" spans="2:12" ht="38.25" x14ac:dyDescent="0.25">
      <c r="B141" s="422" t="s">
        <v>187</v>
      </c>
      <c r="C141" s="372" t="s">
        <v>216</v>
      </c>
      <c r="D141" s="422" t="s">
        <v>31</v>
      </c>
      <c r="E141" s="422" t="s">
        <v>217</v>
      </c>
      <c r="F141" s="519" t="s">
        <v>186</v>
      </c>
      <c r="G141" s="519"/>
      <c r="H141" s="373" t="s">
        <v>32</v>
      </c>
      <c r="I141" s="374">
        <v>3.4000000000000002E-2</v>
      </c>
      <c r="J141" s="374"/>
      <c r="K141" s="375">
        <v>18.48</v>
      </c>
      <c r="L141" s="375">
        <v>0.62</v>
      </c>
    </row>
    <row r="142" spans="2:12" ht="38.25" x14ac:dyDescent="0.25">
      <c r="B142" s="422" t="s">
        <v>187</v>
      </c>
      <c r="C142" s="372" t="s">
        <v>218</v>
      </c>
      <c r="D142" s="422" t="s">
        <v>31</v>
      </c>
      <c r="E142" s="422" t="s">
        <v>219</v>
      </c>
      <c r="F142" s="519" t="s">
        <v>186</v>
      </c>
      <c r="G142" s="519"/>
      <c r="H142" s="373" t="s">
        <v>32</v>
      </c>
      <c r="I142" s="374">
        <v>0.216</v>
      </c>
      <c r="J142" s="374"/>
      <c r="K142" s="375">
        <v>22.58</v>
      </c>
      <c r="L142" s="375">
        <v>4.87</v>
      </c>
    </row>
    <row r="143" spans="2:12" ht="15" x14ac:dyDescent="0.25">
      <c r="B143" s="424"/>
      <c r="C143" s="424"/>
      <c r="D143" s="424"/>
      <c r="E143" s="424"/>
      <c r="F143" s="424"/>
      <c r="G143" s="380"/>
      <c r="H143" s="424"/>
      <c r="I143" s="380"/>
      <c r="J143" s="424"/>
      <c r="K143" s="380"/>
      <c r="L143"/>
    </row>
    <row r="144" spans="2:12" ht="15.75" thickBot="1" x14ac:dyDescent="0.3">
      <c r="B144" s="424"/>
      <c r="C144" s="424"/>
      <c r="D144" s="424"/>
      <c r="E144" s="424"/>
      <c r="F144" s="424"/>
      <c r="G144" s="380"/>
      <c r="H144" s="424"/>
      <c r="I144" s="516"/>
      <c r="J144" s="516"/>
      <c r="K144" s="380"/>
      <c r="L144"/>
    </row>
    <row r="145" spans="2:12" ht="13.5" thickTop="1" x14ac:dyDescent="0.25">
      <c r="B145" s="381"/>
      <c r="C145" s="381"/>
      <c r="D145" s="381"/>
      <c r="E145" s="381"/>
      <c r="F145" s="381"/>
      <c r="G145" s="381"/>
      <c r="H145" s="381"/>
      <c r="I145" s="381"/>
      <c r="J145" s="381"/>
      <c r="K145" s="381"/>
      <c r="L145" s="381"/>
    </row>
    <row r="146" spans="2:12" ht="15" x14ac:dyDescent="0.25">
      <c r="B146" s="420" t="s">
        <v>130</v>
      </c>
      <c r="C146" s="366" t="s">
        <v>0</v>
      </c>
      <c r="D146" s="420" t="s">
        <v>183</v>
      </c>
      <c r="E146" s="420" t="s">
        <v>82</v>
      </c>
      <c r="F146" s="517" t="s">
        <v>1</v>
      </c>
      <c r="G146" s="517"/>
      <c r="H146" s="367" t="s">
        <v>3</v>
      </c>
      <c r="I146" s="366" t="s">
        <v>184</v>
      </c>
      <c r="J146" s="366" t="s">
        <v>1426</v>
      </c>
      <c r="K146" s="366" t="s">
        <v>185</v>
      </c>
      <c r="L146" s="366" t="s">
        <v>4</v>
      </c>
    </row>
    <row r="147" spans="2:12" ht="25.5" x14ac:dyDescent="0.25">
      <c r="B147" s="421" t="s">
        <v>7</v>
      </c>
      <c r="C147" s="368" t="s">
        <v>733</v>
      </c>
      <c r="D147" s="421" t="s">
        <v>124</v>
      </c>
      <c r="E147" s="421" t="s">
        <v>569</v>
      </c>
      <c r="F147" s="518">
        <v>120</v>
      </c>
      <c r="G147" s="518"/>
      <c r="H147" s="369" t="s">
        <v>2</v>
      </c>
      <c r="I147" s="370">
        <v>1</v>
      </c>
      <c r="J147" s="371"/>
      <c r="K147" s="371">
        <v>24.51</v>
      </c>
      <c r="L147" s="371">
        <v>24.51</v>
      </c>
    </row>
    <row r="148" spans="2:12" ht="38.25" x14ac:dyDescent="0.25">
      <c r="B148" s="422" t="s">
        <v>187</v>
      </c>
      <c r="C148" s="372" t="s">
        <v>241</v>
      </c>
      <c r="D148" s="422" t="s">
        <v>31</v>
      </c>
      <c r="E148" s="422" t="s">
        <v>242</v>
      </c>
      <c r="F148" s="519" t="s">
        <v>186</v>
      </c>
      <c r="G148" s="519"/>
      <c r="H148" s="373" t="s">
        <v>32</v>
      </c>
      <c r="I148" s="374">
        <v>0.37019999999999997</v>
      </c>
      <c r="J148" s="374"/>
      <c r="K148" s="375">
        <v>21.35</v>
      </c>
      <c r="L148" s="375">
        <v>7.9</v>
      </c>
    </row>
    <row r="149" spans="2:12" ht="38.25" x14ac:dyDescent="0.25">
      <c r="B149" s="422" t="s">
        <v>187</v>
      </c>
      <c r="C149" s="372" t="s">
        <v>201</v>
      </c>
      <c r="D149" s="422" t="s">
        <v>31</v>
      </c>
      <c r="E149" s="422" t="s">
        <v>48</v>
      </c>
      <c r="F149" s="519" t="s">
        <v>186</v>
      </c>
      <c r="G149" s="519"/>
      <c r="H149" s="373" t="s">
        <v>32</v>
      </c>
      <c r="I149" s="374">
        <v>0.37019999999999997</v>
      </c>
      <c r="J149" s="374"/>
      <c r="K149" s="375">
        <v>17.43</v>
      </c>
      <c r="L149" s="375">
        <v>6.45</v>
      </c>
    </row>
    <row r="150" spans="2:12" x14ac:dyDescent="0.25">
      <c r="B150" s="423" t="s">
        <v>188</v>
      </c>
      <c r="C150" s="376" t="s">
        <v>788</v>
      </c>
      <c r="D150" s="423" t="s">
        <v>212</v>
      </c>
      <c r="E150" s="423" t="s">
        <v>789</v>
      </c>
      <c r="F150" s="515" t="s">
        <v>198</v>
      </c>
      <c r="G150" s="515"/>
      <c r="H150" s="377" t="s">
        <v>22</v>
      </c>
      <c r="I150" s="378">
        <v>0.1923</v>
      </c>
      <c r="J150" s="378"/>
      <c r="K150" s="379">
        <v>6.36</v>
      </c>
      <c r="L150" s="379">
        <v>1.22</v>
      </c>
    </row>
    <row r="151" spans="2:12" x14ac:dyDescent="0.25">
      <c r="B151" s="423" t="s">
        <v>188</v>
      </c>
      <c r="C151" s="376" t="s">
        <v>790</v>
      </c>
      <c r="D151" s="423" t="s">
        <v>212</v>
      </c>
      <c r="E151" s="423" t="s">
        <v>791</v>
      </c>
      <c r="F151" s="515" t="s">
        <v>198</v>
      </c>
      <c r="G151" s="515"/>
      <c r="H151" s="377" t="s">
        <v>22</v>
      </c>
      <c r="I151" s="378">
        <v>0.15</v>
      </c>
      <c r="J151" s="378"/>
      <c r="K151" s="379">
        <v>0.37</v>
      </c>
      <c r="L151" s="379">
        <v>0.05</v>
      </c>
    </row>
    <row r="152" spans="2:12" x14ac:dyDescent="0.25">
      <c r="B152" s="423" t="s">
        <v>188</v>
      </c>
      <c r="C152" s="376" t="s">
        <v>792</v>
      </c>
      <c r="D152" s="423" t="s">
        <v>212</v>
      </c>
      <c r="E152" s="423" t="s">
        <v>793</v>
      </c>
      <c r="F152" s="515" t="s">
        <v>198</v>
      </c>
      <c r="G152" s="515"/>
      <c r="H152" s="377" t="s">
        <v>22</v>
      </c>
      <c r="I152" s="378">
        <v>2.6849999999999999E-2</v>
      </c>
      <c r="J152" s="378"/>
      <c r="K152" s="379">
        <v>13.51</v>
      </c>
      <c r="L152" s="379">
        <v>0.36</v>
      </c>
    </row>
    <row r="153" spans="2:12" x14ac:dyDescent="0.25">
      <c r="B153" s="423" t="s">
        <v>188</v>
      </c>
      <c r="C153" s="376" t="s">
        <v>794</v>
      </c>
      <c r="D153" s="423" t="s">
        <v>212</v>
      </c>
      <c r="E153" s="423" t="s">
        <v>795</v>
      </c>
      <c r="F153" s="515" t="s">
        <v>198</v>
      </c>
      <c r="G153" s="515"/>
      <c r="H153" s="377" t="s">
        <v>2</v>
      </c>
      <c r="I153" s="378">
        <v>0.1575</v>
      </c>
      <c r="J153" s="378"/>
      <c r="K153" s="379">
        <v>41.78</v>
      </c>
      <c r="L153" s="379">
        <v>6.58</v>
      </c>
    </row>
    <row r="154" spans="2:12" x14ac:dyDescent="0.25">
      <c r="B154" s="423" t="s">
        <v>188</v>
      </c>
      <c r="C154" s="376" t="s">
        <v>796</v>
      </c>
      <c r="D154" s="423" t="s">
        <v>212</v>
      </c>
      <c r="E154" s="423" t="s">
        <v>797</v>
      </c>
      <c r="F154" s="515" t="s">
        <v>198</v>
      </c>
      <c r="G154" s="515"/>
      <c r="H154" s="377" t="s">
        <v>22</v>
      </c>
      <c r="I154" s="378">
        <v>0.6</v>
      </c>
      <c r="J154" s="378"/>
      <c r="K154" s="379">
        <v>3.26</v>
      </c>
      <c r="L154" s="379">
        <v>1.95</v>
      </c>
    </row>
    <row r="155" spans="2:12" ht="15" x14ac:dyDescent="0.25">
      <c r="B155" s="424"/>
      <c r="C155" s="424"/>
      <c r="D155" s="424"/>
      <c r="E155" s="424"/>
      <c r="F155" s="424"/>
      <c r="G155" s="380"/>
      <c r="H155" s="424"/>
      <c r="I155" s="380"/>
      <c r="J155" s="424"/>
      <c r="K155" s="380"/>
      <c r="L155"/>
    </row>
    <row r="156" spans="2:12" ht="15.75" thickBot="1" x14ac:dyDescent="0.3">
      <c r="B156" s="424"/>
      <c r="C156" s="424"/>
      <c r="D156" s="424"/>
      <c r="E156" s="424"/>
      <c r="F156" s="424"/>
      <c r="G156" s="380"/>
      <c r="H156" s="424"/>
      <c r="I156" s="516"/>
      <c r="J156" s="516"/>
      <c r="K156" s="380"/>
      <c r="L156"/>
    </row>
    <row r="157" spans="2:12" ht="13.5" thickTop="1" x14ac:dyDescent="0.25">
      <c r="B157" s="381"/>
      <c r="C157" s="381"/>
      <c r="D157" s="381"/>
      <c r="E157" s="381"/>
      <c r="F157" s="381"/>
      <c r="G157" s="381"/>
      <c r="H157" s="381"/>
      <c r="I157" s="381"/>
      <c r="J157" s="381"/>
      <c r="K157" s="381"/>
      <c r="L157" s="381"/>
    </row>
    <row r="158" spans="2:12" ht="15" x14ac:dyDescent="0.25">
      <c r="B158" s="420" t="s">
        <v>1435</v>
      </c>
      <c r="C158" s="366" t="s">
        <v>0</v>
      </c>
      <c r="D158" s="420" t="s">
        <v>183</v>
      </c>
      <c r="E158" s="420" t="s">
        <v>82</v>
      </c>
      <c r="F158" s="517" t="s">
        <v>1</v>
      </c>
      <c r="G158" s="517"/>
      <c r="H158" s="367" t="s">
        <v>3</v>
      </c>
      <c r="I158" s="366" t="s">
        <v>184</v>
      </c>
      <c r="J158" s="366" t="s">
        <v>1426</v>
      </c>
      <c r="K158" s="366" t="s">
        <v>185</v>
      </c>
      <c r="L158" s="366" t="s">
        <v>4</v>
      </c>
    </row>
    <row r="159" spans="2:12" ht="25.5" x14ac:dyDescent="0.25">
      <c r="B159" s="421" t="s">
        <v>7</v>
      </c>
      <c r="C159" s="368" t="s">
        <v>1436</v>
      </c>
      <c r="D159" s="421" t="s">
        <v>212</v>
      </c>
      <c r="E159" s="421" t="s">
        <v>1437</v>
      </c>
      <c r="F159" s="518" t="s">
        <v>1304</v>
      </c>
      <c r="G159" s="518"/>
      <c r="H159" s="369" t="s">
        <v>2</v>
      </c>
      <c r="I159" s="370">
        <v>1</v>
      </c>
      <c r="J159" s="371"/>
      <c r="K159" s="371">
        <v>188.7</v>
      </c>
      <c r="L159" s="371">
        <v>188.7</v>
      </c>
    </row>
    <row r="160" spans="2:12" ht="38.25" x14ac:dyDescent="0.25">
      <c r="B160" s="422" t="s">
        <v>187</v>
      </c>
      <c r="C160" s="372" t="s">
        <v>1438</v>
      </c>
      <c r="D160" s="422" t="s">
        <v>31</v>
      </c>
      <c r="E160" s="422" t="s">
        <v>1439</v>
      </c>
      <c r="F160" s="519" t="s">
        <v>186</v>
      </c>
      <c r="G160" s="519"/>
      <c r="H160" s="373" t="s">
        <v>32</v>
      </c>
      <c r="I160" s="374">
        <v>0.93500000000000005</v>
      </c>
      <c r="J160" s="374"/>
      <c r="K160" s="375">
        <v>18.11</v>
      </c>
      <c r="L160" s="375">
        <v>16.93</v>
      </c>
    </row>
    <row r="161" spans="2:12" ht="38.25" x14ac:dyDescent="0.25">
      <c r="B161" s="422" t="s">
        <v>187</v>
      </c>
      <c r="C161" s="372" t="s">
        <v>241</v>
      </c>
      <c r="D161" s="422" t="s">
        <v>31</v>
      </c>
      <c r="E161" s="422" t="s">
        <v>242</v>
      </c>
      <c r="F161" s="519" t="s">
        <v>186</v>
      </c>
      <c r="G161" s="519"/>
      <c r="H161" s="373" t="s">
        <v>32</v>
      </c>
      <c r="I161" s="374">
        <v>0.80800000000000005</v>
      </c>
      <c r="J161" s="374"/>
      <c r="K161" s="375">
        <v>21.35</v>
      </c>
      <c r="L161" s="375">
        <v>17.25</v>
      </c>
    </row>
    <row r="162" spans="2:12" x14ac:dyDescent="0.25">
      <c r="B162" s="423" t="s">
        <v>188</v>
      </c>
      <c r="C162" s="376" t="s">
        <v>1440</v>
      </c>
      <c r="D162" s="423" t="s">
        <v>212</v>
      </c>
      <c r="E162" s="423" t="s">
        <v>1437</v>
      </c>
      <c r="F162" s="515" t="s">
        <v>198</v>
      </c>
      <c r="G162" s="515"/>
      <c r="H162" s="377" t="s">
        <v>2</v>
      </c>
      <c r="I162" s="378">
        <v>1.05</v>
      </c>
      <c r="J162" s="378"/>
      <c r="K162" s="379">
        <v>147.16999999999999</v>
      </c>
      <c r="L162" s="379">
        <v>154.52000000000001</v>
      </c>
    </row>
    <row r="163" spans="2:12" ht="15" x14ac:dyDescent="0.25">
      <c r="B163" s="424"/>
      <c r="C163" s="424"/>
      <c r="D163" s="424"/>
      <c r="E163" s="424"/>
      <c r="F163" s="424"/>
      <c r="G163" s="380"/>
      <c r="H163" s="424"/>
      <c r="I163" s="380"/>
      <c r="J163" s="424"/>
      <c r="K163" s="380"/>
      <c r="L163"/>
    </row>
    <row r="164" spans="2:12" ht="15.75" thickBot="1" x14ac:dyDescent="0.3">
      <c r="B164" s="424"/>
      <c r="C164" s="424"/>
      <c r="D164" s="424"/>
      <c r="E164" s="424"/>
      <c r="F164" s="424"/>
      <c r="G164" s="380"/>
      <c r="H164" s="424"/>
      <c r="I164" s="516"/>
      <c r="J164" s="516"/>
      <c r="K164" s="380"/>
      <c r="L164"/>
    </row>
    <row r="165" spans="2:12" ht="13.5" thickTop="1" x14ac:dyDescent="0.25">
      <c r="B165" s="381"/>
      <c r="C165" s="381"/>
      <c r="D165" s="381"/>
      <c r="E165" s="381"/>
      <c r="F165" s="381"/>
      <c r="G165" s="381"/>
      <c r="H165" s="381"/>
      <c r="I165" s="381"/>
      <c r="J165" s="381"/>
      <c r="K165" s="381"/>
      <c r="L165" s="381"/>
    </row>
    <row r="166" spans="2:12" ht="15" x14ac:dyDescent="0.25">
      <c r="B166" s="420" t="s">
        <v>1441</v>
      </c>
      <c r="C166" s="366" t="s">
        <v>0</v>
      </c>
      <c r="D166" s="420" t="s">
        <v>183</v>
      </c>
      <c r="E166" s="420" t="s">
        <v>82</v>
      </c>
      <c r="F166" s="517" t="s">
        <v>1</v>
      </c>
      <c r="G166" s="517"/>
      <c r="H166" s="367" t="s">
        <v>3</v>
      </c>
      <c r="I166" s="366" t="s">
        <v>184</v>
      </c>
      <c r="J166" s="366" t="s">
        <v>1426</v>
      </c>
      <c r="K166" s="366" t="s">
        <v>185</v>
      </c>
      <c r="L166" s="366" t="s">
        <v>4</v>
      </c>
    </row>
    <row r="167" spans="2:12" ht="25.5" x14ac:dyDescent="0.25">
      <c r="B167" s="421" t="s">
        <v>7</v>
      </c>
      <c r="C167" s="368" t="s">
        <v>1442</v>
      </c>
      <c r="D167" s="421" t="s">
        <v>175</v>
      </c>
      <c r="E167" s="421" t="s">
        <v>1443</v>
      </c>
      <c r="F167" s="518" t="s">
        <v>1444</v>
      </c>
      <c r="G167" s="518"/>
      <c r="H167" s="369" t="s">
        <v>2</v>
      </c>
      <c r="I167" s="370">
        <v>1</v>
      </c>
      <c r="J167" s="371"/>
      <c r="K167" s="371">
        <v>125.63</v>
      </c>
      <c r="L167" s="371">
        <v>125.63</v>
      </c>
    </row>
    <row r="168" spans="2:12" ht="38.25" x14ac:dyDescent="0.25">
      <c r="B168" s="422" t="s">
        <v>187</v>
      </c>
      <c r="C168" s="372" t="s">
        <v>1096</v>
      </c>
      <c r="D168" s="422" t="s">
        <v>175</v>
      </c>
      <c r="E168" s="422" t="s">
        <v>1097</v>
      </c>
      <c r="F168" s="519" t="s">
        <v>1098</v>
      </c>
      <c r="G168" s="519"/>
      <c r="H168" s="373" t="s">
        <v>1099</v>
      </c>
      <c r="I168" s="374">
        <v>1</v>
      </c>
      <c r="J168" s="374"/>
      <c r="K168" s="375">
        <v>3.63</v>
      </c>
      <c r="L168" s="375">
        <v>3.63</v>
      </c>
    </row>
    <row r="169" spans="2:12" ht="38.25" x14ac:dyDescent="0.25">
      <c r="B169" s="422" t="s">
        <v>187</v>
      </c>
      <c r="C169" s="372" t="s">
        <v>1445</v>
      </c>
      <c r="D169" s="422" t="s">
        <v>175</v>
      </c>
      <c r="E169" s="422" t="s">
        <v>1446</v>
      </c>
      <c r="F169" s="519" t="s">
        <v>1098</v>
      </c>
      <c r="G169" s="519"/>
      <c r="H169" s="373" t="s">
        <v>1099</v>
      </c>
      <c r="I169" s="374">
        <v>1</v>
      </c>
      <c r="J169" s="374"/>
      <c r="K169" s="375">
        <v>3.52</v>
      </c>
      <c r="L169" s="375">
        <v>3.52</v>
      </c>
    </row>
    <row r="170" spans="2:12" ht="38.25" x14ac:dyDescent="0.25">
      <c r="B170" s="423" t="s">
        <v>188</v>
      </c>
      <c r="C170" s="376" t="s">
        <v>1447</v>
      </c>
      <c r="D170" s="423" t="s">
        <v>31</v>
      </c>
      <c r="E170" s="423" t="s">
        <v>1448</v>
      </c>
      <c r="F170" s="515" t="s">
        <v>189</v>
      </c>
      <c r="G170" s="515"/>
      <c r="H170" s="377" t="s">
        <v>32</v>
      </c>
      <c r="I170" s="378">
        <v>1</v>
      </c>
      <c r="J170" s="378"/>
      <c r="K170" s="379">
        <v>16.39</v>
      </c>
      <c r="L170" s="379">
        <v>16.39</v>
      </c>
    </row>
    <row r="171" spans="2:12" ht="38.25" x14ac:dyDescent="0.25">
      <c r="B171" s="423" t="s">
        <v>188</v>
      </c>
      <c r="C171" s="376" t="s">
        <v>1449</v>
      </c>
      <c r="D171" s="423" t="s">
        <v>31</v>
      </c>
      <c r="E171" s="423" t="s">
        <v>1450</v>
      </c>
      <c r="F171" s="515" t="s">
        <v>198</v>
      </c>
      <c r="G171" s="515"/>
      <c r="H171" s="377" t="s">
        <v>2</v>
      </c>
      <c r="I171" s="378">
        <v>1.1499999999999999</v>
      </c>
      <c r="J171" s="378"/>
      <c r="K171" s="379">
        <v>71.8</v>
      </c>
      <c r="L171" s="379">
        <v>82.57</v>
      </c>
    </row>
    <row r="172" spans="2:12" ht="38.25" x14ac:dyDescent="0.25">
      <c r="B172" s="423" t="s">
        <v>188</v>
      </c>
      <c r="C172" s="376" t="s">
        <v>1451</v>
      </c>
      <c r="D172" s="423" t="s">
        <v>31</v>
      </c>
      <c r="E172" s="423" t="s">
        <v>1452</v>
      </c>
      <c r="F172" s="515" t="s">
        <v>198</v>
      </c>
      <c r="G172" s="515"/>
      <c r="H172" s="377" t="s">
        <v>1453</v>
      </c>
      <c r="I172" s="378">
        <v>0.4</v>
      </c>
      <c r="J172" s="378"/>
      <c r="K172" s="379">
        <v>19.63</v>
      </c>
      <c r="L172" s="379">
        <v>7.85</v>
      </c>
    </row>
    <row r="173" spans="2:12" ht="38.25" x14ac:dyDescent="0.25">
      <c r="B173" s="423" t="s">
        <v>188</v>
      </c>
      <c r="C173" s="376" t="s">
        <v>173</v>
      </c>
      <c r="D173" s="423" t="s">
        <v>31</v>
      </c>
      <c r="E173" s="423" t="s">
        <v>47</v>
      </c>
      <c r="F173" s="515" t="s">
        <v>189</v>
      </c>
      <c r="G173" s="515"/>
      <c r="H173" s="377" t="s">
        <v>32</v>
      </c>
      <c r="I173" s="378">
        <v>1</v>
      </c>
      <c r="J173" s="378"/>
      <c r="K173" s="379">
        <v>11.67</v>
      </c>
      <c r="L173" s="379">
        <v>11.67</v>
      </c>
    </row>
    <row r="174" spans="2:12" ht="15" x14ac:dyDescent="0.25">
      <c r="B174" s="424"/>
      <c r="C174" s="424"/>
      <c r="D174" s="424"/>
      <c r="E174" s="424"/>
      <c r="F174" s="424"/>
      <c r="G174" s="380"/>
      <c r="H174" s="424"/>
      <c r="I174" s="380"/>
      <c r="J174" s="424"/>
      <c r="K174" s="380"/>
      <c r="L174"/>
    </row>
    <row r="175" spans="2:12" ht="15.75" thickBot="1" x14ac:dyDescent="0.3">
      <c r="B175" s="424"/>
      <c r="C175" s="424"/>
      <c r="D175" s="424"/>
      <c r="E175" s="424"/>
      <c r="F175" s="424"/>
      <c r="G175" s="380"/>
      <c r="H175" s="424"/>
      <c r="I175" s="516"/>
      <c r="J175" s="516"/>
      <c r="K175" s="380"/>
      <c r="L175"/>
    </row>
    <row r="176" spans="2:12" ht="13.5" thickTop="1" x14ac:dyDescent="0.25">
      <c r="B176" s="381"/>
      <c r="C176" s="381"/>
      <c r="D176" s="381"/>
      <c r="E176" s="381"/>
      <c r="F176" s="381"/>
      <c r="G176" s="381"/>
      <c r="H176" s="381"/>
      <c r="I176" s="381"/>
      <c r="J176" s="381"/>
      <c r="K176" s="381"/>
      <c r="L176" s="381"/>
    </row>
    <row r="177" spans="2:12" ht="15" x14ac:dyDescent="0.25">
      <c r="B177" s="420" t="s">
        <v>1454</v>
      </c>
      <c r="C177" s="366" t="s">
        <v>0</v>
      </c>
      <c r="D177" s="420" t="s">
        <v>183</v>
      </c>
      <c r="E177" s="420" t="s">
        <v>82</v>
      </c>
      <c r="F177" s="517" t="s">
        <v>1</v>
      </c>
      <c r="G177" s="517"/>
      <c r="H177" s="367" t="s">
        <v>3</v>
      </c>
      <c r="I177" s="366" t="s">
        <v>184</v>
      </c>
      <c r="J177" s="366" t="s">
        <v>1426</v>
      </c>
      <c r="K177" s="366" t="s">
        <v>185</v>
      </c>
      <c r="L177" s="366" t="s">
        <v>4</v>
      </c>
    </row>
    <row r="178" spans="2:12" ht="25.5" x14ac:dyDescent="0.25">
      <c r="B178" s="421" t="s">
        <v>7</v>
      </c>
      <c r="C178" s="368" t="s">
        <v>1455</v>
      </c>
      <c r="D178" s="421" t="s">
        <v>31</v>
      </c>
      <c r="E178" s="421" t="s">
        <v>1456</v>
      </c>
      <c r="F178" s="518" t="s">
        <v>1457</v>
      </c>
      <c r="G178" s="518"/>
      <c r="H178" s="369" t="s">
        <v>2</v>
      </c>
      <c r="I178" s="370">
        <v>1</v>
      </c>
      <c r="J178" s="371"/>
      <c r="K178" s="371">
        <v>34.71</v>
      </c>
      <c r="L178" s="371">
        <v>34.71</v>
      </c>
    </row>
    <row r="179" spans="2:12" ht="38.25" x14ac:dyDescent="0.25">
      <c r="B179" s="422" t="s">
        <v>187</v>
      </c>
      <c r="C179" s="372" t="s">
        <v>1433</v>
      </c>
      <c r="D179" s="422" t="s">
        <v>31</v>
      </c>
      <c r="E179" s="422" t="s">
        <v>1434</v>
      </c>
      <c r="F179" s="519" t="s">
        <v>186</v>
      </c>
      <c r="G179" s="519"/>
      <c r="H179" s="373" t="s">
        <v>32</v>
      </c>
      <c r="I179" s="374">
        <v>0.63129999999999997</v>
      </c>
      <c r="J179" s="374"/>
      <c r="K179" s="375">
        <v>21.64</v>
      </c>
      <c r="L179" s="375">
        <v>13.66</v>
      </c>
    </row>
    <row r="180" spans="2:12" ht="38.25" x14ac:dyDescent="0.25">
      <c r="B180" s="422" t="s">
        <v>187</v>
      </c>
      <c r="C180" s="372" t="s">
        <v>201</v>
      </c>
      <c r="D180" s="422" t="s">
        <v>31</v>
      </c>
      <c r="E180" s="422" t="s">
        <v>48</v>
      </c>
      <c r="F180" s="519" t="s">
        <v>186</v>
      </c>
      <c r="G180" s="519"/>
      <c r="H180" s="373" t="s">
        <v>32</v>
      </c>
      <c r="I180" s="374">
        <v>0.31559999999999999</v>
      </c>
      <c r="J180" s="374"/>
      <c r="K180" s="375">
        <v>17.43</v>
      </c>
      <c r="L180" s="375">
        <v>5.5</v>
      </c>
    </row>
    <row r="181" spans="2:12" ht="38.25" x14ac:dyDescent="0.25">
      <c r="B181" s="423" t="s">
        <v>188</v>
      </c>
      <c r="C181" s="376" t="s">
        <v>1458</v>
      </c>
      <c r="D181" s="423" t="s">
        <v>31</v>
      </c>
      <c r="E181" s="423" t="s">
        <v>1459</v>
      </c>
      <c r="F181" s="515" t="s">
        <v>198</v>
      </c>
      <c r="G181" s="515"/>
      <c r="H181" s="377" t="s">
        <v>34</v>
      </c>
      <c r="I181" s="378">
        <v>2.5000000000000001E-2</v>
      </c>
      <c r="J181" s="378"/>
      <c r="K181" s="379">
        <v>30.42</v>
      </c>
      <c r="L181" s="379">
        <v>0.76</v>
      </c>
    </row>
    <row r="182" spans="2:12" ht="38.25" x14ac:dyDescent="0.25">
      <c r="B182" s="423" t="s">
        <v>188</v>
      </c>
      <c r="C182" s="376" t="s">
        <v>1460</v>
      </c>
      <c r="D182" s="423" t="s">
        <v>31</v>
      </c>
      <c r="E182" s="423" t="s">
        <v>1461</v>
      </c>
      <c r="F182" s="515" t="s">
        <v>198</v>
      </c>
      <c r="G182" s="515"/>
      <c r="H182" s="377" t="s">
        <v>34</v>
      </c>
      <c r="I182" s="378">
        <v>0.99639999999999995</v>
      </c>
      <c r="J182" s="378"/>
      <c r="K182" s="379">
        <v>0.86</v>
      </c>
      <c r="L182" s="379">
        <v>0.85</v>
      </c>
    </row>
    <row r="183" spans="2:12" ht="38.25" x14ac:dyDescent="0.25">
      <c r="B183" s="423" t="s">
        <v>188</v>
      </c>
      <c r="C183" s="376" t="s">
        <v>1462</v>
      </c>
      <c r="D183" s="423" t="s">
        <v>31</v>
      </c>
      <c r="E183" s="423" t="s">
        <v>1463</v>
      </c>
      <c r="F183" s="515" t="s">
        <v>198</v>
      </c>
      <c r="G183" s="515"/>
      <c r="H183" s="377" t="s">
        <v>1178</v>
      </c>
      <c r="I183" s="378">
        <v>3.0800000000000001E-2</v>
      </c>
      <c r="J183" s="378"/>
      <c r="K183" s="379">
        <v>29.54</v>
      </c>
      <c r="L183" s="379">
        <v>0.9</v>
      </c>
    </row>
    <row r="184" spans="2:12" ht="38.25" x14ac:dyDescent="0.25">
      <c r="B184" s="423" t="s">
        <v>188</v>
      </c>
      <c r="C184" s="376" t="s">
        <v>1464</v>
      </c>
      <c r="D184" s="423" t="s">
        <v>31</v>
      </c>
      <c r="E184" s="423" t="s">
        <v>1465</v>
      </c>
      <c r="F184" s="515" t="s">
        <v>198</v>
      </c>
      <c r="G184" s="515"/>
      <c r="H184" s="377" t="s">
        <v>2</v>
      </c>
      <c r="I184" s="378">
        <v>1.0740000000000001</v>
      </c>
      <c r="J184" s="378"/>
      <c r="K184" s="379">
        <v>12.05</v>
      </c>
      <c r="L184" s="379">
        <v>12.94</v>
      </c>
    </row>
    <row r="185" spans="2:12" ht="38.25" x14ac:dyDescent="0.25">
      <c r="B185" s="423" t="s">
        <v>188</v>
      </c>
      <c r="C185" s="376" t="s">
        <v>1466</v>
      </c>
      <c r="D185" s="423" t="s">
        <v>31</v>
      </c>
      <c r="E185" s="423" t="s">
        <v>1467</v>
      </c>
      <c r="F185" s="515" t="s">
        <v>198</v>
      </c>
      <c r="G185" s="515"/>
      <c r="H185" s="377" t="s">
        <v>34</v>
      </c>
      <c r="I185" s="378">
        <v>7.7999999999999996E-3</v>
      </c>
      <c r="J185" s="378"/>
      <c r="K185" s="379">
        <v>13.5</v>
      </c>
      <c r="L185" s="379">
        <v>0.1</v>
      </c>
    </row>
    <row r="186" spans="2:12" ht="15" x14ac:dyDescent="0.25">
      <c r="B186" s="424"/>
      <c r="C186" s="424"/>
      <c r="D186" s="424"/>
      <c r="E186" s="424"/>
      <c r="F186" s="424"/>
      <c r="G186" s="380"/>
      <c r="H186" s="424"/>
      <c r="I186" s="380"/>
      <c r="J186" s="424"/>
      <c r="K186" s="380"/>
      <c r="L186"/>
    </row>
    <row r="187" spans="2:12" ht="15.75" thickBot="1" x14ac:dyDescent="0.3">
      <c r="B187" s="424"/>
      <c r="C187" s="424"/>
      <c r="D187" s="424"/>
      <c r="E187" s="424"/>
      <c r="F187" s="424"/>
      <c r="G187" s="380"/>
      <c r="H187" s="424"/>
      <c r="I187" s="516"/>
      <c r="J187" s="516"/>
      <c r="K187" s="380"/>
      <c r="L187"/>
    </row>
    <row r="188" spans="2:12" ht="13.5" thickTop="1" x14ac:dyDescent="0.25">
      <c r="B188" s="381"/>
      <c r="C188" s="381"/>
      <c r="D188" s="381"/>
      <c r="E188" s="381"/>
      <c r="F188" s="381"/>
      <c r="G188" s="381"/>
      <c r="H188" s="381"/>
      <c r="I188" s="381"/>
      <c r="J188" s="381"/>
      <c r="K188" s="381"/>
      <c r="L188" s="381"/>
    </row>
    <row r="189" spans="2:12" ht="15" x14ac:dyDescent="0.25">
      <c r="B189" s="420" t="s">
        <v>1468</v>
      </c>
      <c r="C189" s="366" t="s">
        <v>0</v>
      </c>
      <c r="D189" s="420" t="s">
        <v>183</v>
      </c>
      <c r="E189" s="420" t="s">
        <v>82</v>
      </c>
      <c r="F189" s="517" t="s">
        <v>1</v>
      </c>
      <c r="G189" s="517"/>
      <c r="H189" s="367" t="s">
        <v>3</v>
      </c>
      <c r="I189" s="366" t="s">
        <v>184</v>
      </c>
      <c r="J189" s="366" t="s">
        <v>1426</v>
      </c>
      <c r="K189" s="366" t="s">
        <v>185</v>
      </c>
      <c r="L189" s="366" t="s">
        <v>4</v>
      </c>
    </row>
    <row r="190" spans="2:12" ht="25.5" x14ac:dyDescent="0.25">
      <c r="B190" s="421" t="s">
        <v>7</v>
      </c>
      <c r="C190" s="368" t="s">
        <v>1469</v>
      </c>
      <c r="D190" s="421" t="s">
        <v>31</v>
      </c>
      <c r="E190" s="421" t="s">
        <v>1470</v>
      </c>
      <c r="F190" s="518" t="s">
        <v>1471</v>
      </c>
      <c r="G190" s="518"/>
      <c r="H190" s="369" t="s">
        <v>2</v>
      </c>
      <c r="I190" s="370">
        <v>1</v>
      </c>
      <c r="J190" s="371"/>
      <c r="K190" s="371">
        <v>13.37</v>
      </c>
      <c r="L190" s="371">
        <v>13.37</v>
      </c>
    </row>
    <row r="191" spans="2:12" ht="38.25" x14ac:dyDescent="0.25">
      <c r="B191" s="422" t="s">
        <v>187</v>
      </c>
      <c r="C191" s="372" t="s">
        <v>1472</v>
      </c>
      <c r="D191" s="422" t="s">
        <v>31</v>
      </c>
      <c r="E191" s="422" t="s">
        <v>1473</v>
      </c>
      <c r="F191" s="519" t="s">
        <v>186</v>
      </c>
      <c r="G191" s="519"/>
      <c r="H191" s="373" t="s">
        <v>32</v>
      </c>
      <c r="I191" s="374">
        <v>0.312</v>
      </c>
      <c r="J191" s="374"/>
      <c r="K191" s="375">
        <v>23.41</v>
      </c>
      <c r="L191" s="375">
        <v>7.3</v>
      </c>
    </row>
    <row r="192" spans="2:12" ht="38.25" x14ac:dyDescent="0.25">
      <c r="B192" s="422" t="s">
        <v>187</v>
      </c>
      <c r="C192" s="372" t="s">
        <v>201</v>
      </c>
      <c r="D192" s="422" t="s">
        <v>31</v>
      </c>
      <c r="E192" s="422" t="s">
        <v>48</v>
      </c>
      <c r="F192" s="519" t="s">
        <v>186</v>
      </c>
      <c r="G192" s="519"/>
      <c r="H192" s="373" t="s">
        <v>32</v>
      </c>
      <c r="I192" s="374">
        <v>0.114</v>
      </c>
      <c r="J192" s="374"/>
      <c r="K192" s="375">
        <v>17.43</v>
      </c>
      <c r="L192" s="375">
        <v>1.98</v>
      </c>
    </row>
    <row r="193" spans="2:12" ht="38.25" x14ac:dyDescent="0.25">
      <c r="B193" s="423" t="s">
        <v>188</v>
      </c>
      <c r="C193" s="376" t="s">
        <v>1474</v>
      </c>
      <c r="D193" s="423" t="s">
        <v>31</v>
      </c>
      <c r="E193" s="423" t="s">
        <v>1475</v>
      </c>
      <c r="F193" s="515" t="s">
        <v>198</v>
      </c>
      <c r="G193" s="515"/>
      <c r="H193" s="377" t="s">
        <v>22</v>
      </c>
      <c r="I193" s="378">
        <v>0.1</v>
      </c>
      <c r="J193" s="378"/>
      <c r="K193" s="379">
        <v>0.87</v>
      </c>
      <c r="L193" s="379">
        <v>0.08</v>
      </c>
    </row>
    <row r="194" spans="2:12" ht="38.25" x14ac:dyDescent="0.25">
      <c r="B194" s="423" t="s">
        <v>188</v>
      </c>
      <c r="C194" s="376" t="s">
        <v>1476</v>
      </c>
      <c r="D194" s="423" t="s">
        <v>31</v>
      </c>
      <c r="E194" s="423" t="s">
        <v>1477</v>
      </c>
      <c r="F194" s="515" t="s">
        <v>198</v>
      </c>
      <c r="G194" s="515"/>
      <c r="H194" s="377" t="s">
        <v>34</v>
      </c>
      <c r="I194" s="378">
        <v>1.5550200000000001</v>
      </c>
      <c r="J194" s="378"/>
      <c r="K194" s="379">
        <v>2.58</v>
      </c>
      <c r="L194" s="379">
        <v>4.01</v>
      </c>
    </row>
    <row r="195" spans="2:12" ht="15" x14ac:dyDescent="0.25">
      <c r="B195" s="424"/>
      <c r="C195" s="424"/>
      <c r="D195" s="424"/>
      <c r="E195" s="424"/>
      <c r="F195" s="424"/>
      <c r="G195" s="380"/>
      <c r="H195" s="424"/>
      <c r="I195" s="380"/>
      <c r="J195" s="424"/>
      <c r="K195" s="380"/>
      <c r="L195"/>
    </row>
    <row r="196" spans="2:12" ht="15.75" thickBot="1" x14ac:dyDescent="0.3">
      <c r="B196" s="424"/>
      <c r="C196" s="424"/>
      <c r="D196" s="424"/>
      <c r="E196" s="424"/>
      <c r="F196" s="424"/>
      <c r="G196" s="380"/>
      <c r="H196" s="424"/>
      <c r="I196" s="516"/>
      <c r="J196" s="516"/>
      <c r="K196" s="380"/>
      <c r="L196"/>
    </row>
    <row r="197" spans="2:12" ht="13.5" thickTop="1" x14ac:dyDescent="0.25">
      <c r="B197" s="381"/>
      <c r="C197" s="381"/>
      <c r="D197" s="381"/>
      <c r="E197" s="381"/>
      <c r="F197" s="381"/>
      <c r="G197" s="381"/>
      <c r="H197" s="381"/>
      <c r="I197" s="381"/>
      <c r="J197" s="381"/>
      <c r="K197" s="381"/>
      <c r="L197" s="381"/>
    </row>
    <row r="198" spans="2:12" ht="15" x14ac:dyDescent="0.25">
      <c r="B198" s="420" t="s">
        <v>1478</v>
      </c>
      <c r="C198" s="366" t="s">
        <v>0</v>
      </c>
      <c r="D198" s="420" t="s">
        <v>183</v>
      </c>
      <c r="E198" s="420" t="s">
        <v>82</v>
      </c>
      <c r="F198" s="517" t="s">
        <v>1</v>
      </c>
      <c r="G198" s="517"/>
      <c r="H198" s="367" t="s">
        <v>3</v>
      </c>
      <c r="I198" s="366" t="s">
        <v>184</v>
      </c>
      <c r="J198" s="366" t="s">
        <v>1426</v>
      </c>
      <c r="K198" s="366" t="s">
        <v>185</v>
      </c>
      <c r="L198" s="366" t="s">
        <v>4</v>
      </c>
    </row>
    <row r="199" spans="2:12" ht="25.5" x14ac:dyDescent="0.25">
      <c r="B199" s="421" t="s">
        <v>7</v>
      </c>
      <c r="C199" s="368" t="s">
        <v>1479</v>
      </c>
      <c r="D199" s="421" t="s">
        <v>31</v>
      </c>
      <c r="E199" s="421" t="s">
        <v>1480</v>
      </c>
      <c r="F199" s="518" t="s">
        <v>1471</v>
      </c>
      <c r="G199" s="518"/>
      <c r="H199" s="369" t="s">
        <v>2</v>
      </c>
      <c r="I199" s="370">
        <v>1</v>
      </c>
      <c r="J199" s="371"/>
      <c r="K199" s="371">
        <v>9.99</v>
      </c>
      <c r="L199" s="371">
        <v>9.99</v>
      </c>
    </row>
    <row r="200" spans="2:12" ht="38.25" x14ac:dyDescent="0.25">
      <c r="B200" s="422" t="s">
        <v>187</v>
      </c>
      <c r="C200" s="372" t="s">
        <v>201</v>
      </c>
      <c r="D200" s="422" t="s">
        <v>31</v>
      </c>
      <c r="E200" s="422" t="s">
        <v>48</v>
      </c>
      <c r="F200" s="519" t="s">
        <v>186</v>
      </c>
      <c r="G200" s="519"/>
      <c r="H200" s="373" t="s">
        <v>32</v>
      </c>
      <c r="I200" s="374">
        <v>2.1999999999999999E-2</v>
      </c>
      <c r="J200" s="374"/>
      <c r="K200" s="375">
        <v>17.43</v>
      </c>
      <c r="L200" s="375">
        <v>0.38</v>
      </c>
    </row>
    <row r="201" spans="2:12" ht="38.25" x14ac:dyDescent="0.25">
      <c r="B201" s="422" t="s">
        <v>187</v>
      </c>
      <c r="C201" s="372" t="s">
        <v>1481</v>
      </c>
      <c r="D201" s="422" t="s">
        <v>31</v>
      </c>
      <c r="E201" s="422" t="s">
        <v>1482</v>
      </c>
      <c r="F201" s="519" t="s">
        <v>1315</v>
      </c>
      <c r="G201" s="519"/>
      <c r="H201" s="373" t="s">
        <v>1316</v>
      </c>
      <c r="I201" s="374">
        <v>8.2000000000000007E-3</v>
      </c>
      <c r="J201" s="374"/>
      <c r="K201" s="375">
        <v>24.99</v>
      </c>
      <c r="L201" s="375">
        <v>0.2</v>
      </c>
    </row>
    <row r="202" spans="2:12" ht="38.25" x14ac:dyDescent="0.25">
      <c r="B202" s="422" t="s">
        <v>187</v>
      </c>
      <c r="C202" s="372" t="s">
        <v>1483</v>
      </c>
      <c r="D202" s="422" t="s">
        <v>31</v>
      </c>
      <c r="E202" s="422" t="s">
        <v>1484</v>
      </c>
      <c r="F202" s="519" t="s">
        <v>1315</v>
      </c>
      <c r="G202" s="519"/>
      <c r="H202" s="373" t="s">
        <v>1317</v>
      </c>
      <c r="I202" s="374">
        <v>5.0599999999999999E-2</v>
      </c>
      <c r="J202" s="374"/>
      <c r="K202" s="375">
        <v>24</v>
      </c>
      <c r="L202" s="375">
        <v>1.21</v>
      </c>
    </row>
    <row r="203" spans="2:12" ht="38.25" x14ac:dyDescent="0.25">
      <c r="B203" s="423" t="s">
        <v>188</v>
      </c>
      <c r="C203" s="376" t="s">
        <v>1485</v>
      </c>
      <c r="D203" s="423" t="s">
        <v>31</v>
      </c>
      <c r="E203" s="423" t="s">
        <v>1486</v>
      </c>
      <c r="F203" s="515" t="s">
        <v>198</v>
      </c>
      <c r="G203" s="515"/>
      <c r="H203" s="377" t="s">
        <v>1453</v>
      </c>
      <c r="I203" s="378">
        <v>0.37</v>
      </c>
      <c r="J203" s="378"/>
      <c r="K203" s="379">
        <v>22.18</v>
      </c>
      <c r="L203" s="379">
        <v>8.1999999999999993</v>
      </c>
    </row>
    <row r="204" spans="2:12" ht="15" x14ac:dyDescent="0.25">
      <c r="B204" s="424"/>
      <c r="C204" s="424"/>
      <c r="D204" s="424"/>
      <c r="E204" s="424"/>
      <c r="F204" s="424"/>
      <c r="G204" s="380"/>
      <c r="H204" s="424"/>
      <c r="I204" s="380"/>
      <c r="J204" s="424"/>
      <c r="K204" s="380"/>
      <c r="L204"/>
    </row>
    <row r="205" spans="2:12" ht="15.75" thickBot="1" x14ac:dyDescent="0.3">
      <c r="B205" s="424"/>
      <c r="C205" s="424"/>
      <c r="D205" s="424"/>
      <c r="E205" s="424"/>
      <c r="F205" s="424"/>
      <c r="G205" s="380"/>
      <c r="H205" s="424"/>
      <c r="I205" s="516"/>
      <c r="J205" s="516"/>
      <c r="K205" s="380"/>
      <c r="L205"/>
    </row>
    <row r="206" spans="2:12" ht="13.5" thickTop="1" x14ac:dyDescent="0.25">
      <c r="B206" s="381"/>
      <c r="C206" s="381"/>
      <c r="D206" s="381"/>
      <c r="E206" s="381"/>
      <c r="F206" s="381"/>
      <c r="G206" s="381"/>
      <c r="H206" s="381"/>
      <c r="I206" s="381"/>
      <c r="J206" s="381"/>
      <c r="K206" s="381"/>
      <c r="L206" s="381"/>
    </row>
    <row r="207" spans="2:12" ht="15" x14ac:dyDescent="0.25">
      <c r="B207" s="420" t="s">
        <v>131</v>
      </c>
      <c r="C207" s="366" t="s">
        <v>0</v>
      </c>
      <c r="D207" s="420" t="s">
        <v>183</v>
      </c>
      <c r="E207" s="420" t="s">
        <v>82</v>
      </c>
      <c r="F207" s="517" t="s">
        <v>1</v>
      </c>
      <c r="G207" s="517"/>
      <c r="H207" s="367" t="s">
        <v>3</v>
      </c>
      <c r="I207" s="366" t="s">
        <v>184</v>
      </c>
      <c r="J207" s="366" t="s">
        <v>1426</v>
      </c>
      <c r="K207" s="366" t="s">
        <v>185</v>
      </c>
      <c r="L207" s="366" t="s">
        <v>4</v>
      </c>
    </row>
    <row r="208" spans="2:12" ht="25.5" x14ac:dyDescent="0.25">
      <c r="B208" s="421" t="s">
        <v>7</v>
      </c>
      <c r="C208" s="368" t="s">
        <v>841</v>
      </c>
      <c r="D208" s="421" t="s">
        <v>842</v>
      </c>
      <c r="E208" s="421" t="s">
        <v>843</v>
      </c>
      <c r="F208" s="518" t="s">
        <v>1064</v>
      </c>
      <c r="G208" s="518"/>
      <c r="H208" s="369" t="s">
        <v>22</v>
      </c>
      <c r="I208" s="370">
        <v>1</v>
      </c>
      <c r="J208" s="371"/>
      <c r="K208" s="371">
        <v>10.17</v>
      </c>
      <c r="L208" s="371">
        <v>10.17</v>
      </c>
    </row>
    <row r="209" spans="2:12" ht="25.5" x14ac:dyDescent="0.25">
      <c r="B209" s="423" t="s">
        <v>188</v>
      </c>
      <c r="C209" s="376" t="s">
        <v>1065</v>
      </c>
      <c r="D209" s="423" t="s">
        <v>842</v>
      </c>
      <c r="E209" s="423" t="s">
        <v>1066</v>
      </c>
      <c r="F209" s="515" t="s">
        <v>189</v>
      </c>
      <c r="G209" s="515"/>
      <c r="H209" s="377" t="s">
        <v>32</v>
      </c>
      <c r="I209" s="378">
        <v>0.13</v>
      </c>
      <c r="J209" s="378"/>
      <c r="K209" s="379">
        <v>15.53</v>
      </c>
      <c r="L209" s="379">
        <v>2.0099999999999998</v>
      </c>
    </row>
    <row r="210" spans="2:12" ht="25.5" x14ac:dyDescent="0.25">
      <c r="B210" s="423" t="s">
        <v>188</v>
      </c>
      <c r="C210" s="376" t="s">
        <v>1067</v>
      </c>
      <c r="D210" s="423" t="s">
        <v>842</v>
      </c>
      <c r="E210" s="423" t="s">
        <v>223</v>
      </c>
      <c r="F210" s="515" t="s">
        <v>189</v>
      </c>
      <c r="G210" s="515"/>
      <c r="H210" s="377" t="s">
        <v>32</v>
      </c>
      <c r="I210" s="378">
        <v>0.13</v>
      </c>
      <c r="J210" s="378"/>
      <c r="K210" s="379">
        <v>22.11</v>
      </c>
      <c r="L210" s="379">
        <v>2.87</v>
      </c>
    </row>
    <row r="211" spans="2:12" ht="25.5" x14ac:dyDescent="0.25">
      <c r="B211" s="423" t="s">
        <v>188</v>
      </c>
      <c r="C211" s="376" t="s">
        <v>1068</v>
      </c>
      <c r="D211" s="423" t="s">
        <v>842</v>
      </c>
      <c r="E211" s="423" t="s">
        <v>1069</v>
      </c>
      <c r="F211" s="515" t="s">
        <v>198</v>
      </c>
      <c r="G211" s="515"/>
      <c r="H211" s="377" t="s">
        <v>22</v>
      </c>
      <c r="I211" s="378">
        <v>1</v>
      </c>
      <c r="J211" s="378"/>
      <c r="K211" s="379">
        <v>1.48</v>
      </c>
      <c r="L211" s="379">
        <v>1.48</v>
      </c>
    </row>
    <row r="212" spans="2:12" ht="25.5" x14ac:dyDescent="0.25">
      <c r="B212" s="423" t="s">
        <v>188</v>
      </c>
      <c r="C212" s="376" t="s">
        <v>1070</v>
      </c>
      <c r="D212" s="423" t="s">
        <v>842</v>
      </c>
      <c r="E212" s="423" t="s">
        <v>1071</v>
      </c>
      <c r="F212" s="515" t="s">
        <v>198</v>
      </c>
      <c r="G212" s="515"/>
      <c r="H212" s="377" t="s">
        <v>22</v>
      </c>
      <c r="I212" s="378">
        <v>1</v>
      </c>
      <c r="J212" s="378"/>
      <c r="K212" s="379">
        <v>0.22</v>
      </c>
      <c r="L212" s="379">
        <v>0.22</v>
      </c>
    </row>
    <row r="213" spans="2:12" ht="25.5" x14ac:dyDescent="0.25">
      <c r="B213" s="423" t="s">
        <v>188</v>
      </c>
      <c r="C213" s="376" t="s">
        <v>1072</v>
      </c>
      <c r="D213" s="423" t="s">
        <v>842</v>
      </c>
      <c r="E213" s="423" t="s">
        <v>1073</v>
      </c>
      <c r="F213" s="515" t="s">
        <v>198</v>
      </c>
      <c r="G213" s="515"/>
      <c r="H213" s="377" t="s">
        <v>22</v>
      </c>
      <c r="I213" s="378">
        <v>1</v>
      </c>
      <c r="J213" s="378"/>
      <c r="K213" s="379">
        <v>3.52</v>
      </c>
      <c r="L213" s="379">
        <v>3.52</v>
      </c>
    </row>
    <row r="214" spans="2:12" ht="25.5" x14ac:dyDescent="0.25">
      <c r="B214" s="423" t="s">
        <v>188</v>
      </c>
      <c r="C214" s="376" t="s">
        <v>1074</v>
      </c>
      <c r="D214" s="423" t="s">
        <v>842</v>
      </c>
      <c r="E214" s="423" t="s">
        <v>1075</v>
      </c>
      <c r="F214" s="515" t="s">
        <v>198</v>
      </c>
      <c r="G214" s="515"/>
      <c r="H214" s="377" t="s">
        <v>22</v>
      </c>
      <c r="I214" s="378">
        <v>1</v>
      </c>
      <c r="J214" s="378"/>
      <c r="K214" s="379">
        <v>7.0000000000000007E-2</v>
      </c>
      <c r="L214" s="379">
        <v>7.0000000000000007E-2</v>
      </c>
    </row>
    <row r="215" spans="2:12" ht="15" x14ac:dyDescent="0.25">
      <c r="B215" s="424"/>
      <c r="C215" s="424"/>
      <c r="D215" s="424"/>
      <c r="E215" s="424"/>
      <c r="F215" s="424"/>
      <c r="G215" s="380"/>
      <c r="H215" s="424"/>
      <c r="I215" s="380"/>
      <c r="J215" s="424"/>
      <c r="K215" s="380"/>
      <c r="L215"/>
    </row>
    <row r="216" spans="2:12" ht="15.75" thickBot="1" x14ac:dyDescent="0.3">
      <c r="B216" s="424"/>
      <c r="C216" s="424"/>
      <c r="D216" s="424"/>
      <c r="E216" s="424"/>
      <c r="F216" s="424"/>
      <c r="G216" s="380"/>
      <c r="H216" s="424"/>
      <c r="I216" s="516"/>
      <c r="J216" s="516"/>
      <c r="K216" s="380"/>
      <c r="L216"/>
    </row>
    <row r="217" spans="2:12" ht="13.5" thickTop="1" x14ac:dyDescent="0.25">
      <c r="B217" s="381"/>
      <c r="C217" s="381"/>
      <c r="D217" s="381"/>
      <c r="E217" s="381"/>
      <c r="F217" s="381"/>
      <c r="G217" s="381"/>
      <c r="H217" s="381"/>
      <c r="I217" s="381"/>
      <c r="J217" s="381"/>
      <c r="K217" s="381"/>
      <c r="L217" s="381"/>
    </row>
    <row r="218" spans="2:12" ht="15" x14ac:dyDescent="0.25">
      <c r="B218" s="420" t="s">
        <v>734</v>
      </c>
      <c r="C218" s="366" t="s">
        <v>0</v>
      </c>
      <c r="D218" s="420" t="s">
        <v>183</v>
      </c>
      <c r="E218" s="420" t="s">
        <v>82</v>
      </c>
      <c r="F218" s="517" t="s">
        <v>1</v>
      </c>
      <c r="G218" s="517"/>
      <c r="H218" s="367" t="s">
        <v>3</v>
      </c>
      <c r="I218" s="366" t="s">
        <v>184</v>
      </c>
      <c r="J218" s="366" t="s">
        <v>1426</v>
      </c>
      <c r="K218" s="366" t="s">
        <v>185</v>
      </c>
      <c r="L218" s="366" t="s">
        <v>4</v>
      </c>
    </row>
    <row r="219" spans="2:12" ht="25.5" x14ac:dyDescent="0.25">
      <c r="B219" s="421" t="s">
        <v>7</v>
      </c>
      <c r="C219" s="368" t="s">
        <v>746</v>
      </c>
      <c r="D219" s="421" t="s">
        <v>124</v>
      </c>
      <c r="E219" s="421" t="s">
        <v>440</v>
      </c>
      <c r="F219" s="518">
        <v>63</v>
      </c>
      <c r="G219" s="518"/>
      <c r="H219" s="369" t="s">
        <v>22</v>
      </c>
      <c r="I219" s="370">
        <v>1</v>
      </c>
      <c r="J219" s="371"/>
      <c r="K219" s="371">
        <v>12.62</v>
      </c>
      <c r="L219" s="371">
        <v>12.62</v>
      </c>
    </row>
    <row r="220" spans="2:12" ht="38.25" x14ac:dyDescent="0.25">
      <c r="B220" s="422" t="s">
        <v>187</v>
      </c>
      <c r="C220" s="372" t="s">
        <v>218</v>
      </c>
      <c r="D220" s="422" t="s">
        <v>31</v>
      </c>
      <c r="E220" s="422" t="s">
        <v>219</v>
      </c>
      <c r="F220" s="519" t="s">
        <v>186</v>
      </c>
      <c r="G220" s="519"/>
      <c r="H220" s="373" t="s">
        <v>32</v>
      </c>
      <c r="I220" s="374">
        <v>0.26</v>
      </c>
      <c r="J220" s="374"/>
      <c r="K220" s="375">
        <v>22.58</v>
      </c>
      <c r="L220" s="375">
        <v>5.87</v>
      </c>
    </row>
    <row r="221" spans="2:12" ht="38.25" x14ac:dyDescent="0.25">
      <c r="B221" s="422" t="s">
        <v>187</v>
      </c>
      <c r="C221" s="372" t="s">
        <v>216</v>
      </c>
      <c r="D221" s="422" t="s">
        <v>31</v>
      </c>
      <c r="E221" s="422" t="s">
        <v>217</v>
      </c>
      <c r="F221" s="519" t="s">
        <v>186</v>
      </c>
      <c r="G221" s="519"/>
      <c r="H221" s="373" t="s">
        <v>32</v>
      </c>
      <c r="I221" s="374">
        <v>0.26</v>
      </c>
      <c r="J221" s="374"/>
      <c r="K221" s="375">
        <v>18.48</v>
      </c>
      <c r="L221" s="375">
        <v>4.8</v>
      </c>
    </row>
    <row r="222" spans="2:12" x14ac:dyDescent="0.25">
      <c r="B222" s="423" t="s">
        <v>188</v>
      </c>
      <c r="C222" s="376" t="s">
        <v>804</v>
      </c>
      <c r="D222" s="423" t="s">
        <v>212</v>
      </c>
      <c r="E222" s="423" t="s">
        <v>805</v>
      </c>
      <c r="F222" s="515" t="s">
        <v>198</v>
      </c>
      <c r="G222" s="515"/>
      <c r="H222" s="377" t="s">
        <v>22</v>
      </c>
      <c r="I222" s="378">
        <v>1</v>
      </c>
      <c r="J222" s="378"/>
      <c r="K222" s="379">
        <v>1.95</v>
      </c>
      <c r="L222" s="379">
        <v>1.95</v>
      </c>
    </row>
    <row r="223" spans="2:12" ht="15" x14ac:dyDescent="0.25">
      <c r="B223" s="424"/>
      <c r="C223" s="424"/>
      <c r="D223" s="424"/>
      <c r="E223" s="424"/>
      <c r="F223" s="424"/>
      <c r="G223" s="380"/>
      <c r="H223" s="424"/>
      <c r="I223" s="380"/>
      <c r="J223" s="424"/>
      <c r="K223" s="380"/>
      <c r="L223"/>
    </row>
    <row r="224" spans="2:12" ht="15" x14ac:dyDescent="0.25">
      <c r="B224" s="424"/>
      <c r="C224" s="424"/>
      <c r="D224" s="424"/>
      <c r="E224" s="424"/>
      <c r="F224" s="424"/>
      <c r="G224" s="380"/>
      <c r="H224" s="424"/>
      <c r="I224" s="516"/>
      <c r="J224" s="516"/>
      <c r="K224" s="380"/>
      <c r="L224"/>
    </row>
    <row r="225" spans="2:12" ht="15" x14ac:dyDescent="0.25">
      <c r="B225" s="420" t="s">
        <v>1214</v>
      </c>
      <c r="C225" s="366" t="s">
        <v>0</v>
      </c>
      <c r="D225" s="420" t="s">
        <v>183</v>
      </c>
      <c r="E225" s="420" t="s">
        <v>82</v>
      </c>
      <c r="F225" s="517" t="s">
        <v>1</v>
      </c>
      <c r="G225" s="517"/>
      <c r="H225" s="367" t="s">
        <v>3</v>
      </c>
      <c r="I225" s="366" t="s">
        <v>184</v>
      </c>
      <c r="J225" s="366" t="s">
        <v>1426</v>
      </c>
      <c r="K225" s="366" t="s">
        <v>185</v>
      </c>
      <c r="L225" s="366" t="s">
        <v>4</v>
      </c>
    </row>
    <row r="226" spans="2:12" ht="25.5" x14ac:dyDescent="0.25">
      <c r="B226" s="421" t="s">
        <v>7</v>
      </c>
      <c r="C226" s="368" t="s">
        <v>1210</v>
      </c>
      <c r="D226" s="421" t="s">
        <v>842</v>
      </c>
      <c r="E226" s="421" t="s">
        <v>1211</v>
      </c>
      <c r="F226" s="518" t="s">
        <v>1119</v>
      </c>
      <c r="G226" s="518"/>
      <c r="H226" s="369" t="s">
        <v>22</v>
      </c>
      <c r="I226" s="370">
        <v>1</v>
      </c>
      <c r="J226" s="371"/>
      <c r="K226" s="371">
        <v>8.7899999999999991</v>
      </c>
      <c r="L226" s="371">
        <v>8.7899999999999991</v>
      </c>
    </row>
    <row r="227" spans="2:12" ht="25.5" x14ac:dyDescent="0.25">
      <c r="B227" s="423" t="s">
        <v>188</v>
      </c>
      <c r="C227" s="376" t="s">
        <v>1065</v>
      </c>
      <c r="D227" s="423" t="s">
        <v>842</v>
      </c>
      <c r="E227" s="423" t="s">
        <v>1066</v>
      </c>
      <c r="F227" s="515" t="s">
        <v>189</v>
      </c>
      <c r="G227" s="515"/>
      <c r="H227" s="377" t="s">
        <v>32</v>
      </c>
      <c r="I227" s="378">
        <v>0.1</v>
      </c>
      <c r="J227" s="378"/>
      <c r="K227" s="379">
        <v>15.53</v>
      </c>
      <c r="L227" s="379">
        <v>1.55</v>
      </c>
    </row>
    <row r="228" spans="2:12" ht="25.5" x14ac:dyDescent="0.25">
      <c r="B228" s="423" t="s">
        <v>188</v>
      </c>
      <c r="C228" s="376" t="s">
        <v>1067</v>
      </c>
      <c r="D228" s="423" t="s">
        <v>842</v>
      </c>
      <c r="E228" s="423" t="s">
        <v>223</v>
      </c>
      <c r="F228" s="515" t="s">
        <v>189</v>
      </c>
      <c r="G228" s="515"/>
      <c r="H228" s="377" t="s">
        <v>32</v>
      </c>
      <c r="I228" s="378">
        <v>0.1</v>
      </c>
      <c r="J228" s="378"/>
      <c r="K228" s="379">
        <v>22.11</v>
      </c>
      <c r="L228" s="379">
        <v>2.21</v>
      </c>
    </row>
    <row r="229" spans="2:12" ht="25.5" x14ac:dyDescent="0.25">
      <c r="B229" s="423" t="s">
        <v>188</v>
      </c>
      <c r="C229" s="376" t="s">
        <v>1070</v>
      </c>
      <c r="D229" s="423" t="s">
        <v>842</v>
      </c>
      <c r="E229" s="423" t="s">
        <v>1071</v>
      </c>
      <c r="F229" s="515" t="s">
        <v>198</v>
      </c>
      <c r="G229" s="515"/>
      <c r="H229" s="377" t="s">
        <v>22</v>
      </c>
      <c r="I229" s="378">
        <v>2</v>
      </c>
      <c r="J229" s="378"/>
      <c r="K229" s="379">
        <v>0.22</v>
      </c>
      <c r="L229" s="379">
        <v>0.44</v>
      </c>
    </row>
    <row r="230" spans="2:12" ht="25.5" x14ac:dyDescent="0.25">
      <c r="B230" s="423" t="s">
        <v>188</v>
      </c>
      <c r="C230" s="376" t="s">
        <v>1299</v>
      </c>
      <c r="D230" s="423" t="s">
        <v>842</v>
      </c>
      <c r="E230" s="423" t="s">
        <v>1300</v>
      </c>
      <c r="F230" s="515" t="s">
        <v>198</v>
      </c>
      <c r="G230" s="515"/>
      <c r="H230" s="377" t="s">
        <v>22</v>
      </c>
      <c r="I230" s="378">
        <v>1</v>
      </c>
      <c r="J230" s="378"/>
      <c r="K230" s="379">
        <v>3.79</v>
      </c>
      <c r="L230" s="379">
        <v>3.79</v>
      </c>
    </row>
    <row r="231" spans="2:12" ht="25.5" x14ac:dyDescent="0.25">
      <c r="B231" s="423" t="s">
        <v>188</v>
      </c>
      <c r="C231" s="376" t="s">
        <v>1291</v>
      </c>
      <c r="D231" s="423" t="s">
        <v>842</v>
      </c>
      <c r="E231" s="423" t="s">
        <v>1292</v>
      </c>
      <c r="F231" s="515" t="s">
        <v>198</v>
      </c>
      <c r="G231" s="515"/>
      <c r="H231" s="377" t="s">
        <v>22</v>
      </c>
      <c r="I231" s="378">
        <v>2</v>
      </c>
      <c r="J231" s="378"/>
      <c r="K231" s="379">
        <v>0.33</v>
      </c>
      <c r="L231" s="379">
        <v>0.66</v>
      </c>
    </row>
    <row r="232" spans="2:12" ht="25.5" x14ac:dyDescent="0.25">
      <c r="B232" s="423" t="s">
        <v>188</v>
      </c>
      <c r="C232" s="376" t="s">
        <v>1074</v>
      </c>
      <c r="D232" s="423" t="s">
        <v>842</v>
      </c>
      <c r="E232" s="423" t="s">
        <v>1075</v>
      </c>
      <c r="F232" s="515" t="s">
        <v>198</v>
      </c>
      <c r="G232" s="515"/>
      <c r="H232" s="377" t="s">
        <v>22</v>
      </c>
      <c r="I232" s="378">
        <v>2</v>
      </c>
      <c r="J232" s="378"/>
      <c r="K232" s="379">
        <v>7.0000000000000007E-2</v>
      </c>
      <c r="L232" s="379">
        <v>0.14000000000000001</v>
      </c>
    </row>
    <row r="233" spans="2:12" ht="15" x14ac:dyDescent="0.25">
      <c r="B233" s="424"/>
      <c r="C233" s="424"/>
      <c r="D233" s="424"/>
      <c r="E233" s="424"/>
      <c r="F233" s="424"/>
      <c r="G233" s="380"/>
      <c r="H233" s="424"/>
      <c r="I233" s="380"/>
      <c r="J233" s="424"/>
      <c r="K233" s="380"/>
      <c r="L233"/>
    </row>
    <row r="234" spans="2:12" ht="15" x14ac:dyDescent="0.25">
      <c r="B234" s="424"/>
      <c r="C234" s="424"/>
      <c r="D234" s="424"/>
      <c r="E234" s="424"/>
      <c r="F234" s="424"/>
      <c r="G234" s="380"/>
      <c r="H234" s="424"/>
      <c r="I234" s="516"/>
      <c r="J234" s="516"/>
      <c r="K234" s="380"/>
      <c r="L234"/>
    </row>
    <row r="235" spans="2:12" ht="15" x14ac:dyDescent="0.25">
      <c r="B235" s="420" t="s">
        <v>1215</v>
      </c>
      <c r="C235" s="366" t="s">
        <v>0</v>
      </c>
      <c r="D235" s="420" t="s">
        <v>183</v>
      </c>
      <c r="E235" s="420" t="s">
        <v>82</v>
      </c>
      <c r="F235" s="517" t="s">
        <v>1</v>
      </c>
      <c r="G235" s="517"/>
      <c r="H235" s="367" t="s">
        <v>3</v>
      </c>
      <c r="I235" s="366" t="s">
        <v>184</v>
      </c>
      <c r="J235" s="366" t="s">
        <v>1426</v>
      </c>
      <c r="K235" s="366" t="s">
        <v>185</v>
      </c>
      <c r="L235" s="366" t="s">
        <v>4</v>
      </c>
    </row>
    <row r="236" spans="2:12" ht="25.5" x14ac:dyDescent="0.25">
      <c r="B236" s="421" t="s">
        <v>7</v>
      </c>
      <c r="C236" s="368" t="s">
        <v>1539</v>
      </c>
      <c r="D236" s="421" t="s">
        <v>175</v>
      </c>
      <c r="E236" s="421" t="s">
        <v>1221</v>
      </c>
      <c r="F236" s="518" t="s">
        <v>1141</v>
      </c>
      <c r="G236" s="518"/>
      <c r="H236" s="369" t="s">
        <v>851</v>
      </c>
      <c r="I236" s="370">
        <v>1</v>
      </c>
      <c r="J236" s="371"/>
      <c r="K236" s="371">
        <v>17.16</v>
      </c>
      <c r="L236" s="371">
        <v>17.16</v>
      </c>
    </row>
    <row r="237" spans="2:12" ht="38.25" x14ac:dyDescent="0.25">
      <c r="B237" s="422" t="s">
        <v>187</v>
      </c>
      <c r="C237" s="372" t="s">
        <v>1096</v>
      </c>
      <c r="D237" s="422" t="s">
        <v>175</v>
      </c>
      <c r="E237" s="422" t="s">
        <v>1097</v>
      </c>
      <c r="F237" s="519" t="s">
        <v>1098</v>
      </c>
      <c r="G237" s="519"/>
      <c r="H237" s="373" t="s">
        <v>1099</v>
      </c>
      <c r="I237" s="374">
        <v>0.2</v>
      </c>
      <c r="J237" s="374"/>
      <c r="K237" s="375">
        <v>3.63</v>
      </c>
      <c r="L237" s="375">
        <v>0.72</v>
      </c>
    </row>
    <row r="238" spans="2:12" ht="38.25" x14ac:dyDescent="0.25">
      <c r="B238" s="422" t="s">
        <v>187</v>
      </c>
      <c r="C238" s="372" t="s">
        <v>1112</v>
      </c>
      <c r="D238" s="422" t="s">
        <v>175</v>
      </c>
      <c r="E238" s="422" t="s">
        <v>1113</v>
      </c>
      <c r="F238" s="519" t="s">
        <v>1098</v>
      </c>
      <c r="G238" s="519"/>
      <c r="H238" s="373" t="s">
        <v>1099</v>
      </c>
      <c r="I238" s="374">
        <v>0.2</v>
      </c>
      <c r="J238" s="374"/>
      <c r="K238" s="375">
        <v>3.51</v>
      </c>
      <c r="L238" s="375">
        <v>0.7</v>
      </c>
    </row>
    <row r="239" spans="2:12" x14ac:dyDescent="0.25">
      <c r="B239" s="423" t="s">
        <v>188</v>
      </c>
      <c r="C239" s="376" t="s">
        <v>1540</v>
      </c>
      <c r="D239" s="423" t="s">
        <v>175</v>
      </c>
      <c r="E239" s="423" t="s">
        <v>1221</v>
      </c>
      <c r="F239" s="515" t="s">
        <v>198</v>
      </c>
      <c r="G239" s="515"/>
      <c r="H239" s="377" t="s">
        <v>851</v>
      </c>
      <c r="I239" s="378">
        <v>1</v>
      </c>
      <c r="J239" s="378"/>
      <c r="K239" s="379">
        <v>10.14</v>
      </c>
      <c r="L239" s="379">
        <v>10.14</v>
      </c>
    </row>
    <row r="240" spans="2:12" ht="38.25" x14ac:dyDescent="0.25">
      <c r="B240" s="423" t="s">
        <v>188</v>
      </c>
      <c r="C240" s="376" t="s">
        <v>222</v>
      </c>
      <c r="D240" s="423" t="s">
        <v>31</v>
      </c>
      <c r="E240" s="423" t="s">
        <v>1114</v>
      </c>
      <c r="F240" s="515" t="s">
        <v>189</v>
      </c>
      <c r="G240" s="515"/>
      <c r="H240" s="377" t="s">
        <v>32</v>
      </c>
      <c r="I240" s="378">
        <v>0.2</v>
      </c>
      <c r="J240" s="378"/>
      <c r="K240" s="379">
        <v>16.39</v>
      </c>
      <c r="L240" s="379">
        <v>3.27</v>
      </c>
    </row>
    <row r="241" spans="2:12" ht="38.25" x14ac:dyDescent="0.25">
      <c r="B241" s="423" t="s">
        <v>188</v>
      </c>
      <c r="C241" s="376" t="s">
        <v>173</v>
      </c>
      <c r="D241" s="423" t="s">
        <v>31</v>
      </c>
      <c r="E241" s="423" t="s">
        <v>47</v>
      </c>
      <c r="F241" s="515" t="s">
        <v>189</v>
      </c>
      <c r="G241" s="515"/>
      <c r="H241" s="377" t="s">
        <v>32</v>
      </c>
      <c r="I241" s="378">
        <v>0.2</v>
      </c>
      <c r="J241" s="378"/>
      <c r="K241" s="379">
        <v>11.67</v>
      </c>
      <c r="L241" s="379">
        <v>2.33</v>
      </c>
    </row>
    <row r="242" spans="2:12" ht="15" x14ac:dyDescent="0.25">
      <c r="B242" s="424"/>
      <c r="C242" s="424"/>
      <c r="D242" s="424"/>
      <c r="E242" s="424"/>
      <c r="F242" s="424"/>
      <c r="G242" s="380"/>
      <c r="H242" s="424"/>
      <c r="I242" s="380"/>
      <c r="J242" s="424"/>
      <c r="K242" s="380"/>
      <c r="L242"/>
    </row>
    <row r="243" spans="2:12" ht="15" x14ac:dyDescent="0.25">
      <c r="B243" s="424"/>
      <c r="C243" s="424"/>
      <c r="D243" s="424"/>
      <c r="E243" s="424"/>
      <c r="F243" s="424"/>
      <c r="G243" s="380"/>
      <c r="H243" s="424"/>
      <c r="I243" s="516"/>
      <c r="J243" s="516"/>
      <c r="K243" s="380"/>
      <c r="L243"/>
    </row>
    <row r="244" spans="2:12" ht="15" x14ac:dyDescent="0.25">
      <c r="B244" s="420" t="s">
        <v>1216</v>
      </c>
      <c r="C244" s="366" t="s">
        <v>0</v>
      </c>
      <c r="D244" s="420" t="s">
        <v>183</v>
      </c>
      <c r="E244" s="420" t="s">
        <v>82</v>
      </c>
      <c r="F244" s="517" t="s">
        <v>1</v>
      </c>
      <c r="G244" s="517"/>
      <c r="H244" s="367" t="s">
        <v>3</v>
      </c>
      <c r="I244" s="366" t="s">
        <v>184</v>
      </c>
      <c r="J244" s="366" t="s">
        <v>1426</v>
      </c>
      <c r="K244" s="366" t="s">
        <v>185</v>
      </c>
      <c r="L244" s="366" t="s">
        <v>4</v>
      </c>
    </row>
    <row r="245" spans="2:12" ht="25.5" x14ac:dyDescent="0.25">
      <c r="B245" s="421" t="s">
        <v>7</v>
      </c>
      <c r="C245" s="368" t="s">
        <v>1301</v>
      </c>
      <c r="D245" s="421" t="s">
        <v>175</v>
      </c>
      <c r="E245" s="421" t="s">
        <v>1222</v>
      </c>
      <c r="F245" s="518" t="s">
        <v>1184</v>
      </c>
      <c r="G245" s="518"/>
      <c r="H245" s="369" t="s">
        <v>225</v>
      </c>
      <c r="I245" s="370">
        <v>1</v>
      </c>
      <c r="J245" s="371"/>
      <c r="K245" s="371">
        <v>5.1100000000000003</v>
      </c>
      <c r="L245" s="371">
        <v>5.1100000000000003</v>
      </c>
    </row>
    <row r="246" spans="2:12" ht="38.25" x14ac:dyDescent="0.25">
      <c r="B246" s="422" t="s">
        <v>187</v>
      </c>
      <c r="C246" s="372" t="s">
        <v>1096</v>
      </c>
      <c r="D246" s="422" t="s">
        <v>175</v>
      </c>
      <c r="E246" s="422" t="s">
        <v>1097</v>
      </c>
      <c r="F246" s="519" t="s">
        <v>1098</v>
      </c>
      <c r="G246" s="519"/>
      <c r="H246" s="373" t="s">
        <v>1099</v>
      </c>
      <c r="I246" s="374">
        <v>0.08</v>
      </c>
      <c r="J246" s="374"/>
      <c r="K246" s="375">
        <v>3.63</v>
      </c>
      <c r="L246" s="375">
        <v>0.28999999999999998</v>
      </c>
    </row>
    <row r="247" spans="2:12" ht="38.25" x14ac:dyDescent="0.25">
      <c r="B247" s="422" t="s">
        <v>187</v>
      </c>
      <c r="C247" s="372" t="s">
        <v>1112</v>
      </c>
      <c r="D247" s="422" t="s">
        <v>175</v>
      </c>
      <c r="E247" s="422" t="s">
        <v>1113</v>
      </c>
      <c r="F247" s="519" t="s">
        <v>1098</v>
      </c>
      <c r="G247" s="519"/>
      <c r="H247" s="373" t="s">
        <v>1099</v>
      </c>
      <c r="I247" s="374">
        <v>0.08</v>
      </c>
      <c r="J247" s="374"/>
      <c r="K247" s="375">
        <v>3.51</v>
      </c>
      <c r="L247" s="375">
        <v>0.28000000000000003</v>
      </c>
    </row>
    <row r="248" spans="2:12" x14ac:dyDescent="0.25">
      <c r="B248" s="423" t="s">
        <v>188</v>
      </c>
      <c r="C248" s="376" t="s">
        <v>1302</v>
      </c>
      <c r="D248" s="423" t="s">
        <v>175</v>
      </c>
      <c r="E248" s="423" t="s">
        <v>1303</v>
      </c>
      <c r="F248" s="515" t="s">
        <v>198</v>
      </c>
      <c r="G248" s="515"/>
      <c r="H248" s="377" t="s">
        <v>225</v>
      </c>
      <c r="I248" s="378">
        <v>1</v>
      </c>
      <c r="J248" s="378"/>
      <c r="K248" s="379">
        <v>2.2999999999999998</v>
      </c>
      <c r="L248" s="379">
        <v>2.2999999999999998</v>
      </c>
    </row>
    <row r="249" spans="2:12" ht="38.25" x14ac:dyDescent="0.25">
      <c r="B249" s="423" t="s">
        <v>188</v>
      </c>
      <c r="C249" s="376" t="s">
        <v>222</v>
      </c>
      <c r="D249" s="423" t="s">
        <v>31</v>
      </c>
      <c r="E249" s="423" t="s">
        <v>1114</v>
      </c>
      <c r="F249" s="515" t="s">
        <v>189</v>
      </c>
      <c r="G249" s="515"/>
      <c r="H249" s="377" t="s">
        <v>32</v>
      </c>
      <c r="I249" s="378">
        <v>0.08</v>
      </c>
      <c r="J249" s="378"/>
      <c r="K249" s="379">
        <v>16.39</v>
      </c>
      <c r="L249" s="379">
        <v>1.31</v>
      </c>
    </row>
    <row r="250" spans="2:12" ht="38.25" x14ac:dyDescent="0.25">
      <c r="B250" s="423" t="s">
        <v>188</v>
      </c>
      <c r="C250" s="376" t="s">
        <v>173</v>
      </c>
      <c r="D250" s="423" t="s">
        <v>31</v>
      </c>
      <c r="E250" s="423" t="s">
        <v>47</v>
      </c>
      <c r="F250" s="515" t="s">
        <v>189</v>
      </c>
      <c r="G250" s="515"/>
      <c r="H250" s="377" t="s">
        <v>32</v>
      </c>
      <c r="I250" s="378">
        <v>0.08</v>
      </c>
      <c r="J250" s="378"/>
      <c r="K250" s="379">
        <v>11.67</v>
      </c>
      <c r="L250" s="379">
        <v>0.93</v>
      </c>
    </row>
    <row r="251" spans="2:12" ht="15" x14ac:dyDescent="0.25">
      <c r="B251" s="424"/>
      <c r="C251" s="424"/>
      <c r="D251" s="424"/>
      <c r="E251" s="424"/>
      <c r="F251" s="424"/>
      <c r="G251" s="380"/>
      <c r="H251" s="424"/>
      <c r="I251" s="380"/>
      <c r="J251" s="424"/>
      <c r="K251" s="380"/>
      <c r="L251"/>
    </row>
    <row r="252" spans="2:12" ht="15.75" thickBot="1" x14ac:dyDescent="0.3">
      <c r="B252" s="424"/>
      <c r="C252" s="424"/>
      <c r="D252" s="424"/>
      <c r="E252" s="424"/>
      <c r="F252" s="424"/>
      <c r="G252" s="380"/>
      <c r="H252" s="424"/>
      <c r="I252" s="516"/>
      <c r="J252" s="516"/>
      <c r="K252" s="380"/>
      <c r="L252"/>
    </row>
    <row r="253" spans="2:12" s="304" customFormat="1" ht="13.5" thickTop="1" x14ac:dyDescent="0.25">
      <c r="B253" s="381"/>
      <c r="C253" s="381"/>
      <c r="D253" s="381"/>
      <c r="E253" s="381"/>
      <c r="F253" s="381"/>
      <c r="G253" s="381"/>
      <c r="H253" s="381"/>
      <c r="I253" s="381"/>
      <c r="J253" s="381"/>
      <c r="K253" s="381"/>
      <c r="L253" s="381"/>
    </row>
    <row r="254" spans="2:12" s="304" customFormat="1" ht="15" x14ac:dyDescent="0.25">
      <c r="B254" s="420" t="s">
        <v>1217</v>
      </c>
      <c r="C254" s="366" t="s">
        <v>0</v>
      </c>
      <c r="D254" s="420" t="s">
        <v>183</v>
      </c>
      <c r="E254" s="420" t="s">
        <v>82</v>
      </c>
      <c r="F254" s="517" t="s">
        <v>1</v>
      </c>
      <c r="G254" s="517"/>
      <c r="H254" s="367" t="s">
        <v>3</v>
      </c>
      <c r="I254" s="366" t="s">
        <v>184</v>
      </c>
      <c r="J254" s="366" t="s">
        <v>1426</v>
      </c>
      <c r="K254" s="366" t="s">
        <v>185</v>
      </c>
      <c r="L254" s="366" t="s">
        <v>4</v>
      </c>
    </row>
    <row r="255" spans="2:12" s="304" customFormat="1" ht="25.5" x14ac:dyDescent="0.25">
      <c r="B255" s="421" t="s">
        <v>7</v>
      </c>
      <c r="C255" s="368" t="s">
        <v>1613</v>
      </c>
      <c r="D255" s="421" t="s">
        <v>212</v>
      </c>
      <c r="E255" s="421" t="s">
        <v>305</v>
      </c>
      <c r="F255" s="518" t="s">
        <v>1278</v>
      </c>
      <c r="G255" s="518"/>
      <c r="H255" s="369" t="s">
        <v>22</v>
      </c>
      <c r="I255" s="370">
        <v>1</v>
      </c>
      <c r="J255" s="371"/>
      <c r="K255" s="371">
        <v>20.100000000000001</v>
      </c>
      <c r="L255" s="371">
        <v>20.100000000000001</v>
      </c>
    </row>
    <row r="256" spans="2:12" s="304" customFormat="1" ht="38.25" x14ac:dyDescent="0.25">
      <c r="B256" s="422" t="s">
        <v>187</v>
      </c>
      <c r="C256" s="372" t="s">
        <v>218</v>
      </c>
      <c r="D256" s="422" t="s">
        <v>31</v>
      </c>
      <c r="E256" s="422" t="s">
        <v>219</v>
      </c>
      <c r="F256" s="519" t="s">
        <v>186</v>
      </c>
      <c r="G256" s="519"/>
      <c r="H256" s="373" t="s">
        <v>32</v>
      </c>
      <c r="I256" s="374">
        <v>0.26600000000000001</v>
      </c>
      <c r="J256" s="374"/>
      <c r="K256" s="375">
        <v>22.58</v>
      </c>
      <c r="L256" s="375">
        <v>6</v>
      </c>
    </row>
    <row r="257" spans="2:12" s="304" customFormat="1" ht="38.25" x14ac:dyDescent="0.25">
      <c r="B257" s="422" t="s">
        <v>187</v>
      </c>
      <c r="C257" s="372" t="s">
        <v>216</v>
      </c>
      <c r="D257" s="422" t="s">
        <v>31</v>
      </c>
      <c r="E257" s="422" t="s">
        <v>217</v>
      </c>
      <c r="F257" s="519" t="s">
        <v>186</v>
      </c>
      <c r="G257" s="519"/>
      <c r="H257" s="373" t="s">
        <v>32</v>
      </c>
      <c r="I257" s="374">
        <v>0.26600000000000001</v>
      </c>
      <c r="J257" s="374"/>
      <c r="K257" s="375">
        <v>18.48</v>
      </c>
      <c r="L257" s="375">
        <v>4.91</v>
      </c>
    </row>
    <row r="258" spans="2:12" s="304" customFormat="1" x14ac:dyDescent="0.25">
      <c r="B258" s="423" t="s">
        <v>188</v>
      </c>
      <c r="C258" s="376" t="s">
        <v>1614</v>
      </c>
      <c r="D258" s="423" t="s">
        <v>212</v>
      </c>
      <c r="E258" s="423" t="s">
        <v>1615</v>
      </c>
      <c r="F258" s="515" t="s">
        <v>198</v>
      </c>
      <c r="G258" s="515"/>
      <c r="H258" s="377" t="s">
        <v>22</v>
      </c>
      <c r="I258" s="378">
        <v>1</v>
      </c>
      <c r="J258" s="378"/>
      <c r="K258" s="379">
        <v>9.19</v>
      </c>
      <c r="L258" s="379">
        <v>9.19</v>
      </c>
    </row>
    <row r="259" spans="2:12" s="304" customFormat="1" ht="15" x14ac:dyDescent="0.25">
      <c r="B259" s="424"/>
      <c r="C259" s="424"/>
      <c r="D259" s="424"/>
      <c r="E259" s="424"/>
      <c r="F259" s="424"/>
      <c r="G259" s="380"/>
      <c r="H259" s="424"/>
      <c r="I259" s="380"/>
      <c r="J259" s="424"/>
      <c r="K259" s="380"/>
      <c r="L259"/>
    </row>
    <row r="260" spans="2:12" s="304" customFormat="1" ht="15.75" thickBot="1" x14ac:dyDescent="0.3">
      <c r="B260" s="424"/>
      <c r="C260" s="424"/>
      <c r="D260" s="424"/>
      <c r="E260" s="424"/>
      <c r="F260" s="424"/>
      <c r="G260" s="380"/>
      <c r="H260" s="424"/>
      <c r="I260" s="516"/>
      <c r="J260" s="516"/>
      <c r="K260" s="380"/>
      <c r="L260"/>
    </row>
    <row r="261" spans="2:12" s="304" customFormat="1" ht="13.5" thickTop="1" x14ac:dyDescent="0.25">
      <c r="B261" s="381"/>
      <c r="C261" s="381"/>
      <c r="D261" s="381"/>
      <c r="E261" s="381"/>
      <c r="F261" s="381"/>
      <c r="G261" s="381"/>
      <c r="H261" s="381"/>
      <c r="I261" s="381"/>
      <c r="J261" s="381"/>
      <c r="K261" s="381"/>
      <c r="L261" s="381"/>
    </row>
    <row r="262" spans="2:12" s="304" customFormat="1" ht="15" x14ac:dyDescent="0.25">
      <c r="B262" s="420" t="s">
        <v>737</v>
      </c>
      <c r="C262" s="366" t="s">
        <v>0</v>
      </c>
      <c r="D262" s="420" t="s">
        <v>183</v>
      </c>
      <c r="E262" s="420" t="s">
        <v>82</v>
      </c>
      <c r="F262" s="517" t="s">
        <v>1</v>
      </c>
      <c r="G262" s="517"/>
      <c r="H262" s="367" t="s">
        <v>3</v>
      </c>
      <c r="I262" s="366" t="s">
        <v>184</v>
      </c>
      <c r="J262" s="366" t="s">
        <v>1426</v>
      </c>
      <c r="K262" s="366" t="s">
        <v>185</v>
      </c>
      <c r="L262" s="366" t="s">
        <v>4</v>
      </c>
    </row>
    <row r="263" spans="2:12" s="304" customFormat="1" ht="25.5" x14ac:dyDescent="0.25">
      <c r="B263" s="421" t="s">
        <v>7</v>
      </c>
      <c r="C263" s="368" t="s">
        <v>747</v>
      </c>
      <c r="D263" s="421" t="s">
        <v>124</v>
      </c>
      <c r="E263" s="421" t="s">
        <v>443</v>
      </c>
      <c r="F263" s="518">
        <v>63</v>
      </c>
      <c r="G263" s="518"/>
      <c r="H263" s="369" t="s">
        <v>22</v>
      </c>
      <c r="I263" s="370">
        <v>1</v>
      </c>
      <c r="J263" s="371"/>
      <c r="K263" s="371">
        <v>5.29</v>
      </c>
      <c r="L263" s="371">
        <v>5.29</v>
      </c>
    </row>
    <row r="264" spans="2:12" s="304" customFormat="1" ht="38.25" x14ac:dyDescent="0.25">
      <c r="B264" s="422" t="s">
        <v>187</v>
      </c>
      <c r="C264" s="372" t="s">
        <v>218</v>
      </c>
      <c r="D264" s="422" t="s">
        <v>31</v>
      </c>
      <c r="E264" s="422" t="s">
        <v>219</v>
      </c>
      <c r="F264" s="519" t="s">
        <v>186</v>
      </c>
      <c r="G264" s="519"/>
      <c r="H264" s="373" t="s">
        <v>32</v>
      </c>
      <c r="I264" s="374">
        <v>0.1</v>
      </c>
      <c r="J264" s="374"/>
      <c r="K264" s="375">
        <v>22.58</v>
      </c>
      <c r="L264" s="375">
        <v>2.25</v>
      </c>
    </row>
    <row r="265" spans="2:12" s="304" customFormat="1" ht="38.25" x14ac:dyDescent="0.25">
      <c r="B265" s="422" t="s">
        <v>187</v>
      </c>
      <c r="C265" s="372" t="s">
        <v>216</v>
      </c>
      <c r="D265" s="422" t="s">
        <v>31</v>
      </c>
      <c r="E265" s="422" t="s">
        <v>217</v>
      </c>
      <c r="F265" s="519" t="s">
        <v>186</v>
      </c>
      <c r="G265" s="519"/>
      <c r="H265" s="373" t="s">
        <v>32</v>
      </c>
      <c r="I265" s="374">
        <v>0.1</v>
      </c>
      <c r="J265" s="374"/>
      <c r="K265" s="375">
        <v>18.48</v>
      </c>
      <c r="L265" s="375">
        <v>1.84</v>
      </c>
    </row>
    <row r="266" spans="2:12" s="304" customFormat="1" x14ac:dyDescent="0.25">
      <c r="B266" s="423" t="s">
        <v>188</v>
      </c>
      <c r="C266" s="376" t="s">
        <v>806</v>
      </c>
      <c r="D266" s="423" t="s">
        <v>175</v>
      </c>
      <c r="E266" s="423" t="s">
        <v>807</v>
      </c>
      <c r="F266" s="515" t="s">
        <v>198</v>
      </c>
      <c r="G266" s="515"/>
      <c r="H266" s="377" t="s">
        <v>225</v>
      </c>
      <c r="I266" s="378">
        <v>1</v>
      </c>
      <c r="J266" s="378"/>
      <c r="K266" s="379">
        <v>1.2</v>
      </c>
      <c r="L266" s="379">
        <v>1.2</v>
      </c>
    </row>
    <row r="267" spans="2:12" s="304" customFormat="1" ht="15" x14ac:dyDescent="0.25">
      <c r="B267" s="424"/>
      <c r="C267" s="424"/>
      <c r="D267" s="424"/>
      <c r="E267" s="424"/>
      <c r="F267" s="424"/>
      <c r="G267" s="380"/>
      <c r="H267" s="424"/>
      <c r="I267" s="380"/>
      <c r="J267" s="424"/>
      <c r="K267" s="380"/>
      <c r="L267"/>
    </row>
    <row r="268" spans="2:12" s="304" customFormat="1" ht="15.75" thickBot="1" x14ac:dyDescent="0.3">
      <c r="B268" s="424"/>
      <c r="C268" s="424"/>
      <c r="D268" s="424"/>
      <c r="E268" s="424"/>
      <c r="F268" s="424"/>
      <c r="G268" s="380"/>
      <c r="H268" s="424"/>
      <c r="I268" s="516"/>
      <c r="J268" s="516"/>
      <c r="K268" s="380"/>
      <c r="L268"/>
    </row>
    <row r="269" spans="2:12" s="304" customFormat="1" ht="13.5" thickTop="1" x14ac:dyDescent="0.25">
      <c r="B269" s="381"/>
      <c r="C269" s="381"/>
      <c r="D269" s="381"/>
      <c r="E269" s="381"/>
      <c r="F269" s="381"/>
      <c r="G269" s="381"/>
      <c r="H269" s="381"/>
      <c r="I269" s="381"/>
      <c r="J269" s="381"/>
      <c r="K269" s="381"/>
      <c r="L269" s="381"/>
    </row>
    <row r="270" spans="2:12" s="304" customFormat="1" ht="15" x14ac:dyDescent="0.25">
      <c r="B270" s="420" t="s">
        <v>1619</v>
      </c>
      <c r="C270" s="366" t="s">
        <v>0</v>
      </c>
      <c r="D270" s="420" t="s">
        <v>183</v>
      </c>
      <c r="E270" s="420" t="s">
        <v>82</v>
      </c>
      <c r="F270" s="517" t="s">
        <v>1</v>
      </c>
      <c r="G270" s="517"/>
      <c r="H270" s="367" t="s">
        <v>3</v>
      </c>
      <c r="I270" s="366" t="s">
        <v>184</v>
      </c>
      <c r="J270" s="366" t="s">
        <v>1426</v>
      </c>
      <c r="K270" s="366" t="s">
        <v>185</v>
      </c>
      <c r="L270" s="366" t="s">
        <v>4</v>
      </c>
    </row>
    <row r="271" spans="2:12" s="304" customFormat="1" ht="25.5" x14ac:dyDescent="0.25">
      <c r="B271" s="421" t="s">
        <v>7</v>
      </c>
      <c r="C271" s="368" t="s">
        <v>1616</v>
      </c>
      <c r="D271" s="421" t="s">
        <v>31</v>
      </c>
      <c r="E271" s="421" t="s">
        <v>844</v>
      </c>
      <c r="F271" s="518" t="s">
        <v>215</v>
      </c>
      <c r="G271" s="518"/>
      <c r="H271" s="369" t="s">
        <v>22</v>
      </c>
      <c r="I271" s="370">
        <v>1</v>
      </c>
      <c r="J271" s="371"/>
      <c r="K271" s="371">
        <v>8.61</v>
      </c>
      <c r="L271" s="371">
        <v>8.61</v>
      </c>
    </row>
    <row r="272" spans="2:12" s="304" customFormat="1" ht="38.25" x14ac:dyDescent="0.25">
      <c r="B272" s="422" t="s">
        <v>187</v>
      </c>
      <c r="C272" s="372" t="s">
        <v>218</v>
      </c>
      <c r="D272" s="422" t="s">
        <v>31</v>
      </c>
      <c r="E272" s="422" t="s">
        <v>219</v>
      </c>
      <c r="F272" s="519" t="s">
        <v>186</v>
      </c>
      <c r="G272" s="519"/>
      <c r="H272" s="373" t="s">
        <v>32</v>
      </c>
      <c r="I272" s="374">
        <v>0.15</v>
      </c>
      <c r="J272" s="374"/>
      <c r="K272" s="375">
        <v>22.58</v>
      </c>
      <c r="L272" s="375">
        <v>3.38</v>
      </c>
    </row>
    <row r="273" spans="2:12" s="304" customFormat="1" ht="38.25" x14ac:dyDescent="0.25">
      <c r="B273" s="422" t="s">
        <v>187</v>
      </c>
      <c r="C273" s="372" t="s">
        <v>216</v>
      </c>
      <c r="D273" s="422" t="s">
        <v>31</v>
      </c>
      <c r="E273" s="422" t="s">
        <v>217</v>
      </c>
      <c r="F273" s="519" t="s">
        <v>186</v>
      </c>
      <c r="G273" s="519"/>
      <c r="H273" s="373" t="s">
        <v>32</v>
      </c>
      <c r="I273" s="374">
        <v>0.15</v>
      </c>
      <c r="J273" s="374"/>
      <c r="K273" s="375">
        <v>18.48</v>
      </c>
      <c r="L273" s="375">
        <v>2.77</v>
      </c>
    </row>
    <row r="274" spans="2:12" s="304" customFormat="1" ht="38.25" x14ac:dyDescent="0.25">
      <c r="B274" s="423" t="s">
        <v>188</v>
      </c>
      <c r="C274" s="376" t="s">
        <v>1617</v>
      </c>
      <c r="D274" s="423" t="s">
        <v>31</v>
      </c>
      <c r="E274" s="423" t="s">
        <v>1618</v>
      </c>
      <c r="F274" s="515" t="s">
        <v>198</v>
      </c>
      <c r="G274" s="515"/>
      <c r="H274" s="377" t="s">
        <v>22</v>
      </c>
      <c r="I274" s="378">
        <v>1</v>
      </c>
      <c r="J274" s="378"/>
      <c r="K274" s="379">
        <v>2.46</v>
      </c>
      <c r="L274" s="379">
        <v>2.46</v>
      </c>
    </row>
    <row r="275" spans="2:12" s="304" customFormat="1" ht="15" x14ac:dyDescent="0.25">
      <c r="B275" s="424"/>
      <c r="C275" s="424"/>
      <c r="D275" s="424"/>
      <c r="E275" s="424"/>
      <c r="F275" s="424"/>
      <c r="G275" s="380"/>
      <c r="H275" s="424"/>
      <c r="I275" s="380"/>
      <c r="J275" s="424"/>
      <c r="K275" s="380"/>
      <c r="L275"/>
    </row>
    <row r="276" spans="2:12" s="304" customFormat="1" ht="15.75" thickBot="1" x14ac:dyDescent="0.3">
      <c r="B276" s="424"/>
      <c r="C276" s="424"/>
      <c r="D276" s="424"/>
      <c r="E276" s="424"/>
      <c r="F276" s="424"/>
      <c r="G276" s="380"/>
      <c r="H276" s="424"/>
      <c r="I276" s="516"/>
      <c r="J276" s="516"/>
      <c r="K276" s="380"/>
      <c r="L276"/>
    </row>
    <row r="277" spans="2:12" s="304" customFormat="1" ht="13.5" thickTop="1" x14ac:dyDescent="0.25">
      <c r="B277" s="381"/>
      <c r="C277" s="381"/>
      <c r="D277" s="381"/>
      <c r="E277" s="381"/>
      <c r="F277" s="381"/>
      <c r="G277" s="381"/>
      <c r="H277" s="381"/>
      <c r="I277" s="381"/>
      <c r="J277" s="381"/>
      <c r="K277" s="381"/>
      <c r="L277" s="381"/>
    </row>
    <row r="278" spans="2:12" s="304" customFormat="1" ht="15" x14ac:dyDescent="0.25">
      <c r="B278" s="420" t="s">
        <v>1620</v>
      </c>
      <c r="C278" s="366" t="s">
        <v>0</v>
      </c>
      <c r="D278" s="420" t="s">
        <v>183</v>
      </c>
      <c r="E278" s="420" t="s">
        <v>82</v>
      </c>
      <c r="F278" s="517" t="s">
        <v>1</v>
      </c>
      <c r="G278" s="517"/>
      <c r="H278" s="367" t="s">
        <v>3</v>
      </c>
      <c r="I278" s="366" t="s">
        <v>184</v>
      </c>
      <c r="J278" s="366" t="s">
        <v>1426</v>
      </c>
      <c r="K278" s="366" t="s">
        <v>185</v>
      </c>
      <c r="L278" s="366" t="s">
        <v>4</v>
      </c>
    </row>
    <row r="279" spans="2:12" s="304" customFormat="1" ht="25.5" x14ac:dyDescent="0.25">
      <c r="B279" s="421" t="s">
        <v>7</v>
      </c>
      <c r="C279" s="368" t="s">
        <v>845</v>
      </c>
      <c r="D279" s="421" t="s">
        <v>31</v>
      </c>
      <c r="E279" s="421" t="s">
        <v>846</v>
      </c>
      <c r="F279" s="518" t="s">
        <v>215</v>
      </c>
      <c r="G279" s="518"/>
      <c r="H279" s="369" t="s">
        <v>22</v>
      </c>
      <c r="I279" s="370">
        <v>1</v>
      </c>
      <c r="J279" s="371"/>
      <c r="K279" s="371">
        <v>10.56</v>
      </c>
      <c r="L279" s="371">
        <v>10.56</v>
      </c>
    </row>
    <row r="280" spans="2:12" s="304" customFormat="1" ht="38.25" x14ac:dyDescent="0.25">
      <c r="B280" s="422" t="s">
        <v>187</v>
      </c>
      <c r="C280" s="372" t="s">
        <v>216</v>
      </c>
      <c r="D280" s="422" t="s">
        <v>31</v>
      </c>
      <c r="E280" s="422" t="s">
        <v>217</v>
      </c>
      <c r="F280" s="519" t="s">
        <v>186</v>
      </c>
      <c r="G280" s="519"/>
      <c r="H280" s="373" t="s">
        <v>32</v>
      </c>
      <c r="I280" s="374">
        <v>0.15</v>
      </c>
      <c r="J280" s="374"/>
      <c r="K280" s="375">
        <v>18.48</v>
      </c>
      <c r="L280" s="375">
        <v>2.77</v>
      </c>
    </row>
    <row r="281" spans="2:12" s="304" customFormat="1" ht="38.25" x14ac:dyDescent="0.25">
      <c r="B281" s="422" t="s">
        <v>187</v>
      </c>
      <c r="C281" s="372" t="s">
        <v>218</v>
      </c>
      <c r="D281" s="422" t="s">
        <v>31</v>
      </c>
      <c r="E281" s="422" t="s">
        <v>219</v>
      </c>
      <c r="F281" s="519" t="s">
        <v>186</v>
      </c>
      <c r="G281" s="519"/>
      <c r="H281" s="373" t="s">
        <v>32</v>
      </c>
      <c r="I281" s="374">
        <v>0.15</v>
      </c>
      <c r="J281" s="374"/>
      <c r="K281" s="375">
        <v>22.58</v>
      </c>
      <c r="L281" s="375">
        <v>3.38</v>
      </c>
    </row>
    <row r="282" spans="2:12" s="304" customFormat="1" ht="38.25" x14ac:dyDescent="0.25">
      <c r="B282" s="423" t="s">
        <v>188</v>
      </c>
      <c r="C282" s="376" t="s">
        <v>1076</v>
      </c>
      <c r="D282" s="423" t="s">
        <v>31</v>
      </c>
      <c r="E282" s="423" t="s">
        <v>1077</v>
      </c>
      <c r="F282" s="515" t="s">
        <v>198</v>
      </c>
      <c r="G282" s="515"/>
      <c r="H282" s="377" t="s">
        <v>22</v>
      </c>
      <c r="I282" s="378">
        <v>1</v>
      </c>
      <c r="J282" s="378"/>
      <c r="K282" s="379">
        <v>4.41</v>
      </c>
      <c r="L282" s="379">
        <v>4.41</v>
      </c>
    </row>
    <row r="283" spans="2:12" s="304" customFormat="1" ht="15" x14ac:dyDescent="0.25">
      <c r="B283" s="424"/>
      <c r="C283" s="424"/>
      <c r="D283" s="424"/>
      <c r="E283" s="424"/>
      <c r="F283" s="424"/>
      <c r="G283" s="380"/>
      <c r="H283" s="424"/>
      <c r="I283" s="380"/>
      <c r="J283" s="424"/>
      <c r="K283" s="380"/>
      <c r="L283"/>
    </row>
    <row r="284" spans="2:12" s="304" customFormat="1" ht="15.75" thickBot="1" x14ac:dyDescent="0.3">
      <c r="B284" s="424"/>
      <c r="C284" s="424"/>
      <c r="D284" s="424"/>
      <c r="E284" s="424"/>
      <c r="F284" s="424"/>
      <c r="G284" s="380"/>
      <c r="H284" s="424"/>
      <c r="I284" s="516"/>
      <c r="J284" s="516"/>
      <c r="K284" s="380"/>
      <c r="L284"/>
    </row>
    <row r="285" spans="2:12" ht="13.5" thickTop="1" x14ac:dyDescent="0.25">
      <c r="B285" s="381"/>
      <c r="C285" s="381"/>
      <c r="D285" s="381"/>
      <c r="E285" s="381"/>
      <c r="F285" s="381"/>
      <c r="G285" s="381"/>
      <c r="H285" s="381"/>
      <c r="I285" s="381"/>
      <c r="J285" s="381"/>
      <c r="K285" s="381"/>
      <c r="L285" s="381"/>
    </row>
    <row r="286" spans="2:12" ht="15" x14ac:dyDescent="0.25">
      <c r="B286" s="420" t="s">
        <v>132</v>
      </c>
      <c r="C286" s="366" t="s">
        <v>0</v>
      </c>
      <c r="D286" s="420" t="s">
        <v>183</v>
      </c>
      <c r="E286" s="420" t="s">
        <v>82</v>
      </c>
      <c r="F286" s="517" t="s">
        <v>1</v>
      </c>
      <c r="G286" s="517"/>
      <c r="H286" s="367" t="s">
        <v>3</v>
      </c>
      <c r="I286" s="366" t="s">
        <v>184</v>
      </c>
      <c r="J286" s="366" t="s">
        <v>1426</v>
      </c>
      <c r="K286" s="366" t="s">
        <v>185</v>
      </c>
      <c r="L286" s="366" t="s">
        <v>4</v>
      </c>
    </row>
    <row r="287" spans="2:12" ht="38.25" x14ac:dyDescent="0.25">
      <c r="B287" s="421" t="s">
        <v>7</v>
      </c>
      <c r="C287" s="368" t="s">
        <v>848</v>
      </c>
      <c r="D287" s="421" t="s">
        <v>849</v>
      </c>
      <c r="E287" s="421" t="s">
        <v>850</v>
      </c>
      <c r="F287" s="518" t="s">
        <v>135</v>
      </c>
      <c r="G287" s="518"/>
      <c r="H287" s="369" t="s">
        <v>851</v>
      </c>
      <c r="I287" s="370">
        <v>1</v>
      </c>
      <c r="J287" s="371"/>
      <c r="K287" s="371">
        <v>14.5</v>
      </c>
      <c r="L287" s="371">
        <v>14.5</v>
      </c>
    </row>
    <row r="288" spans="2:12" ht="38.25" x14ac:dyDescent="0.25">
      <c r="B288" s="422" t="s">
        <v>187</v>
      </c>
      <c r="C288" s="372" t="s">
        <v>1078</v>
      </c>
      <c r="D288" s="422" t="s">
        <v>849</v>
      </c>
      <c r="E288" s="422" t="s">
        <v>1079</v>
      </c>
      <c r="F288" s="519" t="s">
        <v>135</v>
      </c>
      <c r="G288" s="519"/>
      <c r="H288" s="373" t="s">
        <v>1080</v>
      </c>
      <c r="I288" s="374">
        <v>8.1481499999999998E-2</v>
      </c>
      <c r="J288" s="374"/>
      <c r="K288" s="375">
        <v>20.440000000000001</v>
      </c>
      <c r="L288" s="375">
        <v>1.66</v>
      </c>
    </row>
    <row r="289" spans="2:12" ht="38.25" x14ac:dyDescent="0.25">
      <c r="B289" s="422" t="s">
        <v>187</v>
      </c>
      <c r="C289" s="372" t="s">
        <v>1081</v>
      </c>
      <c r="D289" s="422" t="s">
        <v>849</v>
      </c>
      <c r="E289" s="422" t="s">
        <v>219</v>
      </c>
      <c r="F289" s="519" t="s">
        <v>135</v>
      </c>
      <c r="G289" s="519"/>
      <c r="H289" s="373" t="s">
        <v>1080</v>
      </c>
      <c r="I289" s="374">
        <v>8.1481499999999998E-2</v>
      </c>
      <c r="J289" s="374"/>
      <c r="K289" s="375">
        <v>25.49</v>
      </c>
      <c r="L289" s="375">
        <v>2.0699999999999998</v>
      </c>
    </row>
    <row r="290" spans="2:12" ht="38.25" x14ac:dyDescent="0.25">
      <c r="B290" s="423" t="s">
        <v>188</v>
      </c>
      <c r="C290" s="376" t="s">
        <v>1082</v>
      </c>
      <c r="D290" s="423" t="s">
        <v>849</v>
      </c>
      <c r="E290" s="423" t="s">
        <v>1083</v>
      </c>
      <c r="F290" s="515" t="s">
        <v>198</v>
      </c>
      <c r="G290" s="515"/>
      <c r="H290" s="377" t="s">
        <v>851</v>
      </c>
      <c r="I290" s="378">
        <v>1.02</v>
      </c>
      <c r="J290" s="378"/>
      <c r="K290" s="379">
        <v>10.55</v>
      </c>
      <c r="L290" s="379">
        <v>10.76</v>
      </c>
    </row>
    <row r="291" spans="2:12" ht="25.5" x14ac:dyDescent="0.25">
      <c r="B291" s="423" t="s">
        <v>188</v>
      </c>
      <c r="C291" s="376" t="s">
        <v>1084</v>
      </c>
      <c r="D291" s="423" t="s">
        <v>849</v>
      </c>
      <c r="E291" s="423" t="s">
        <v>1085</v>
      </c>
      <c r="F291" s="515" t="s">
        <v>198</v>
      </c>
      <c r="G291" s="515"/>
      <c r="H291" s="377" t="s">
        <v>851</v>
      </c>
      <c r="I291" s="378">
        <v>4.4999999999999998E-2</v>
      </c>
      <c r="J291" s="378"/>
      <c r="K291" s="379">
        <v>0.34</v>
      </c>
      <c r="L291" s="379">
        <v>0.01</v>
      </c>
    </row>
    <row r="292" spans="2:12" ht="15" x14ac:dyDescent="0.25">
      <c r="B292" s="424"/>
      <c r="C292" s="424"/>
      <c r="D292" s="424"/>
      <c r="E292" s="424"/>
      <c r="F292" s="424"/>
      <c r="G292" s="380"/>
      <c r="H292" s="424"/>
      <c r="I292" s="380"/>
      <c r="J292" s="424"/>
      <c r="K292" s="380"/>
      <c r="L292"/>
    </row>
    <row r="293" spans="2:12" ht="15.75" thickBot="1" x14ac:dyDescent="0.3">
      <c r="B293" s="424"/>
      <c r="C293" s="424"/>
      <c r="D293" s="424"/>
      <c r="E293" s="424"/>
      <c r="F293" s="424"/>
      <c r="G293" s="380"/>
      <c r="H293" s="424"/>
      <c r="I293" s="516"/>
      <c r="J293" s="516"/>
      <c r="K293" s="380"/>
      <c r="L293"/>
    </row>
    <row r="294" spans="2:12" ht="13.5" thickTop="1" x14ac:dyDescent="0.25">
      <c r="B294" s="381"/>
      <c r="C294" s="381"/>
      <c r="D294" s="381"/>
      <c r="E294" s="381"/>
      <c r="F294" s="381"/>
      <c r="G294" s="381"/>
      <c r="H294" s="381"/>
      <c r="I294" s="381"/>
      <c r="J294" s="381"/>
      <c r="K294" s="381"/>
      <c r="L294" s="381"/>
    </row>
    <row r="295" spans="2:12" ht="15" x14ac:dyDescent="0.25">
      <c r="B295" s="420" t="s">
        <v>740</v>
      </c>
      <c r="C295" s="366" t="s">
        <v>0</v>
      </c>
      <c r="D295" s="420" t="s">
        <v>183</v>
      </c>
      <c r="E295" s="420" t="s">
        <v>82</v>
      </c>
      <c r="F295" s="517" t="s">
        <v>1</v>
      </c>
      <c r="G295" s="517"/>
      <c r="H295" s="367" t="s">
        <v>3</v>
      </c>
      <c r="I295" s="366" t="s">
        <v>184</v>
      </c>
      <c r="J295" s="366" t="s">
        <v>1426</v>
      </c>
      <c r="K295" s="366" t="s">
        <v>185</v>
      </c>
      <c r="L295" s="366" t="s">
        <v>4</v>
      </c>
    </row>
    <row r="296" spans="2:12" ht="38.25" x14ac:dyDescent="0.25">
      <c r="B296" s="421" t="s">
        <v>7</v>
      </c>
      <c r="C296" s="368" t="s">
        <v>852</v>
      </c>
      <c r="D296" s="421" t="s">
        <v>849</v>
      </c>
      <c r="E296" s="421" t="s">
        <v>853</v>
      </c>
      <c r="F296" s="518" t="s">
        <v>135</v>
      </c>
      <c r="G296" s="518"/>
      <c r="H296" s="369" t="s">
        <v>851</v>
      </c>
      <c r="I296" s="370">
        <v>1</v>
      </c>
      <c r="J296" s="371"/>
      <c r="K296" s="371">
        <v>21.59</v>
      </c>
      <c r="L296" s="371">
        <v>21.59</v>
      </c>
    </row>
    <row r="297" spans="2:12" ht="38.25" x14ac:dyDescent="0.25">
      <c r="B297" s="422" t="s">
        <v>187</v>
      </c>
      <c r="C297" s="372" t="s">
        <v>1078</v>
      </c>
      <c r="D297" s="422" t="s">
        <v>849</v>
      </c>
      <c r="E297" s="422" t="s">
        <v>1079</v>
      </c>
      <c r="F297" s="519" t="s">
        <v>135</v>
      </c>
      <c r="G297" s="519"/>
      <c r="H297" s="373" t="s">
        <v>1080</v>
      </c>
      <c r="I297" s="374">
        <v>8.1481499999999998E-2</v>
      </c>
      <c r="J297" s="374"/>
      <c r="K297" s="375">
        <v>20.440000000000001</v>
      </c>
      <c r="L297" s="375">
        <v>1.66</v>
      </c>
    </row>
    <row r="298" spans="2:12" ht="38.25" x14ac:dyDescent="0.25">
      <c r="B298" s="422" t="s">
        <v>187</v>
      </c>
      <c r="C298" s="372" t="s">
        <v>1081</v>
      </c>
      <c r="D298" s="422" t="s">
        <v>849</v>
      </c>
      <c r="E298" s="422" t="s">
        <v>219</v>
      </c>
      <c r="F298" s="519" t="s">
        <v>135</v>
      </c>
      <c r="G298" s="519"/>
      <c r="H298" s="373" t="s">
        <v>1080</v>
      </c>
      <c r="I298" s="374">
        <v>8.1481499999999998E-2</v>
      </c>
      <c r="J298" s="374"/>
      <c r="K298" s="375">
        <v>25.49</v>
      </c>
      <c r="L298" s="375">
        <v>2.0699999999999998</v>
      </c>
    </row>
    <row r="299" spans="2:12" ht="38.25" x14ac:dyDescent="0.25">
      <c r="B299" s="423" t="s">
        <v>188</v>
      </c>
      <c r="C299" s="376" t="s">
        <v>1086</v>
      </c>
      <c r="D299" s="423" t="s">
        <v>849</v>
      </c>
      <c r="E299" s="423" t="s">
        <v>1087</v>
      </c>
      <c r="F299" s="515" t="s">
        <v>198</v>
      </c>
      <c r="G299" s="515"/>
      <c r="H299" s="377" t="s">
        <v>851</v>
      </c>
      <c r="I299" s="378">
        <v>1.02</v>
      </c>
      <c r="J299" s="378"/>
      <c r="K299" s="379">
        <v>17.5</v>
      </c>
      <c r="L299" s="379">
        <v>17.850000000000001</v>
      </c>
    </row>
    <row r="300" spans="2:12" ht="25.5" x14ac:dyDescent="0.25">
      <c r="B300" s="423" t="s">
        <v>188</v>
      </c>
      <c r="C300" s="376" t="s">
        <v>1084</v>
      </c>
      <c r="D300" s="423" t="s">
        <v>849</v>
      </c>
      <c r="E300" s="423" t="s">
        <v>1085</v>
      </c>
      <c r="F300" s="515" t="s">
        <v>198</v>
      </c>
      <c r="G300" s="515"/>
      <c r="H300" s="377" t="s">
        <v>851</v>
      </c>
      <c r="I300" s="378">
        <v>4.4999999999999998E-2</v>
      </c>
      <c r="J300" s="378"/>
      <c r="K300" s="379">
        <v>0.34</v>
      </c>
      <c r="L300" s="379">
        <v>0.01</v>
      </c>
    </row>
    <row r="301" spans="2:12" ht="15" x14ac:dyDescent="0.25">
      <c r="B301" s="424"/>
      <c r="C301" s="424"/>
      <c r="D301" s="424"/>
      <c r="E301" s="424"/>
      <c r="F301" s="424"/>
      <c r="G301" s="380"/>
      <c r="H301" s="424"/>
      <c r="I301" s="380"/>
      <c r="J301" s="424"/>
      <c r="K301" s="380"/>
      <c r="L301"/>
    </row>
    <row r="302" spans="2:12" ht="15" x14ac:dyDescent="0.25">
      <c r="B302" s="424"/>
      <c r="C302" s="424"/>
      <c r="D302" s="424"/>
      <c r="E302" s="424"/>
      <c r="F302" s="424"/>
      <c r="G302" s="380"/>
      <c r="H302" s="424"/>
      <c r="I302" s="516"/>
      <c r="J302" s="516"/>
      <c r="K302" s="380"/>
      <c r="L302"/>
    </row>
    <row r="303" spans="2:12" ht="15" x14ac:dyDescent="0.25">
      <c r="B303" s="420" t="s">
        <v>1195</v>
      </c>
      <c r="C303" s="366" t="s">
        <v>0</v>
      </c>
      <c r="D303" s="420" t="s">
        <v>183</v>
      </c>
      <c r="E303" s="420" t="s">
        <v>82</v>
      </c>
      <c r="F303" s="517" t="s">
        <v>1</v>
      </c>
      <c r="G303" s="517"/>
      <c r="H303" s="367" t="s">
        <v>3</v>
      </c>
      <c r="I303" s="366" t="s">
        <v>184</v>
      </c>
      <c r="J303" s="366" t="s">
        <v>1426</v>
      </c>
      <c r="K303" s="366" t="s">
        <v>185</v>
      </c>
      <c r="L303" s="366" t="s">
        <v>4</v>
      </c>
    </row>
    <row r="304" spans="2:12" ht="38.25" x14ac:dyDescent="0.25">
      <c r="B304" s="421" t="s">
        <v>7</v>
      </c>
      <c r="C304" s="368" t="s">
        <v>856</v>
      </c>
      <c r="D304" s="421" t="s">
        <v>849</v>
      </c>
      <c r="E304" s="421" t="s">
        <v>857</v>
      </c>
      <c r="F304" s="518" t="s">
        <v>135</v>
      </c>
      <c r="G304" s="518"/>
      <c r="H304" s="369" t="s">
        <v>851</v>
      </c>
      <c r="I304" s="370">
        <v>1</v>
      </c>
      <c r="J304" s="371"/>
      <c r="K304" s="371">
        <v>105.67</v>
      </c>
      <c r="L304" s="371">
        <v>105.67</v>
      </c>
    </row>
    <row r="305" spans="2:12" ht="38.25" x14ac:dyDescent="0.25">
      <c r="B305" s="422" t="s">
        <v>187</v>
      </c>
      <c r="C305" s="372" t="s">
        <v>1078</v>
      </c>
      <c r="D305" s="422" t="s">
        <v>849</v>
      </c>
      <c r="E305" s="422" t="s">
        <v>1079</v>
      </c>
      <c r="F305" s="519" t="s">
        <v>135</v>
      </c>
      <c r="G305" s="519"/>
      <c r="H305" s="373" t="s">
        <v>1080</v>
      </c>
      <c r="I305" s="374">
        <v>0.1222222</v>
      </c>
      <c r="J305" s="374"/>
      <c r="K305" s="375">
        <v>20.440000000000001</v>
      </c>
      <c r="L305" s="375">
        <v>2.4900000000000002</v>
      </c>
    </row>
    <row r="306" spans="2:12" ht="38.25" x14ac:dyDescent="0.25">
      <c r="B306" s="422" t="s">
        <v>187</v>
      </c>
      <c r="C306" s="372" t="s">
        <v>1081</v>
      </c>
      <c r="D306" s="422" t="s">
        <v>849</v>
      </c>
      <c r="E306" s="422" t="s">
        <v>219</v>
      </c>
      <c r="F306" s="519" t="s">
        <v>135</v>
      </c>
      <c r="G306" s="519"/>
      <c r="H306" s="373" t="s">
        <v>1080</v>
      </c>
      <c r="I306" s="374">
        <v>8.1481499999999998E-2</v>
      </c>
      <c r="J306" s="374"/>
      <c r="K306" s="375">
        <v>25.49</v>
      </c>
      <c r="L306" s="375">
        <v>2.0699999999999998</v>
      </c>
    </row>
    <row r="307" spans="2:12" ht="38.25" x14ac:dyDescent="0.25">
      <c r="B307" s="423" t="s">
        <v>188</v>
      </c>
      <c r="C307" s="376" t="s">
        <v>1541</v>
      </c>
      <c r="D307" s="423" t="s">
        <v>849</v>
      </c>
      <c r="E307" s="423" t="s">
        <v>1542</v>
      </c>
      <c r="F307" s="515" t="s">
        <v>198</v>
      </c>
      <c r="G307" s="515"/>
      <c r="H307" s="377" t="s">
        <v>851</v>
      </c>
      <c r="I307" s="378">
        <v>1.02</v>
      </c>
      <c r="J307" s="378"/>
      <c r="K307" s="379">
        <v>99.12</v>
      </c>
      <c r="L307" s="379">
        <v>101.1</v>
      </c>
    </row>
    <row r="308" spans="2:12" ht="25.5" x14ac:dyDescent="0.25">
      <c r="B308" s="423" t="s">
        <v>188</v>
      </c>
      <c r="C308" s="376" t="s">
        <v>1084</v>
      </c>
      <c r="D308" s="423" t="s">
        <v>849</v>
      </c>
      <c r="E308" s="423" t="s">
        <v>1085</v>
      </c>
      <c r="F308" s="515" t="s">
        <v>198</v>
      </c>
      <c r="G308" s="515"/>
      <c r="H308" s="377" t="s">
        <v>851</v>
      </c>
      <c r="I308" s="378">
        <v>4.4999999999999998E-2</v>
      </c>
      <c r="J308" s="378"/>
      <c r="K308" s="379">
        <v>0.34</v>
      </c>
      <c r="L308" s="379">
        <v>0.01</v>
      </c>
    </row>
    <row r="309" spans="2:12" ht="15" x14ac:dyDescent="0.25">
      <c r="B309" s="424"/>
      <c r="C309" s="424"/>
      <c r="D309" s="424"/>
      <c r="E309" s="424"/>
      <c r="F309" s="424"/>
      <c r="G309" s="380"/>
      <c r="H309" s="424"/>
      <c r="I309" s="380"/>
      <c r="J309" s="424"/>
      <c r="K309" s="380"/>
      <c r="L309"/>
    </row>
    <row r="310" spans="2:12" ht="15" x14ac:dyDescent="0.25">
      <c r="B310" s="424"/>
      <c r="C310" s="424"/>
      <c r="D310" s="424"/>
      <c r="E310" s="424"/>
      <c r="F310" s="424"/>
      <c r="G310" s="380"/>
      <c r="H310" s="424"/>
      <c r="I310" s="516"/>
      <c r="J310" s="516"/>
      <c r="K310" s="380"/>
      <c r="L310"/>
    </row>
    <row r="311" spans="2:12" ht="15" x14ac:dyDescent="0.25">
      <c r="B311" s="420" t="s">
        <v>1196</v>
      </c>
      <c r="C311" s="366" t="s">
        <v>0</v>
      </c>
      <c r="D311" s="420" t="s">
        <v>183</v>
      </c>
      <c r="E311" s="420" t="s">
        <v>82</v>
      </c>
      <c r="F311" s="517" t="s">
        <v>1</v>
      </c>
      <c r="G311" s="517"/>
      <c r="H311" s="367" t="s">
        <v>3</v>
      </c>
      <c r="I311" s="366" t="s">
        <v>184</v>
      </c>
      <c r="J311" s="366" t="s">
        <v>1426</v>
      </c>
      <c r="K311" s="366" t="s">
        <v>185</v>
      </c>
      <c r="L311" s="366" t="s">
        <v>4</v>
      </c>
    </row>
    <row r="312" spans="2:12" ht="38.25" x14ac:dyDescent="0.25">
      <c r="B312" s="421" t="s">
        <v>7</v>
      </c>
      <c r="C312" s="368" t="s">
        <v>854</v>
      </c>
      <c r="D312" s="421" t="s">
        <v>849</v>
      </c>
      <c r="E312" s="421" t="s">
        <v>855</v>
      </c>
      <c r="F312" s="518" t="s">
        <v>135</v>
      </c>
      <c r="G312" s="518"/>
      <c r="H312" s="369" t="s">
        <v>851</v>
      </c>
      <c r="I312" s="370">
        <v>1</v>
      </c>
      <c r="J312" s="371"/>
      <c r="K312" s="371">
        <v>6.44</v>
      </c>
      <c r="L312" s="371">
        <v>6.44</v>
      </c>
    </row>
    <row r="313" spans="2:12" ht="38.25" x14ac:dyDescent="0.25">
      <c r="B313" s="422" t="s">
        <v>187</v>
      </c>
      <c r="C313" s="372" t="s">
        <v>1078</v>
      </c>
      <c r="D313" s="422" t="s">
        <v>849</v>
      </c>
      <c r="E313" s="422" t="s">
        <v>1079</v>
      </c>
      <c r="F313" s="519" t="s">
        <v>135</v>
      </c>
      <c r="G313" s="519"/>
      <c r="H313" s="373" t="s">
        <v>1080</v>
      </c>
      <c r="I313" s="374">
        <v>4.0740699999999998E-2</v>
      </c>
      <c r="J313" s="374"/>
      <c r="K313" s="375">
        <v>20.440000000000001</v>
      </c>
      <c r="L313" s="375">
        <v>0.83</v>
      </c>
    </row>
    <row r="314" spans="2:12" ht="38.25" x14ac:dyDescent="0.25">
      <c r="B314" s="422" t="s">
        <v>187</v>
      </c>
      <c r="C314" s="372" t="s">
        <v>1081</v>
      </c>
      <c r="D314" s="422" t="s">
        <v>849</v>
      </c>
      <c r="E314" s="422" t="s">
        <v>219</v>
      </c>
      <c r="F314" s="519" t="s">
        <v>135</v>
      </c>
      <c r="G314" s="519"/>
      <c r="H314" s="373" t="s">
        <v>1080</v>
      </c>
      <c r="I314" s="374">
        <v>4.0740699999999998E-2</v>
      </c>
      <c r="J314" s="374"/>
      <c r="K314" s="375">
        <v>25.49</v>
      </c>
      <c r="L314" s="375">
        <v>1.03</v>
      </c>
    </row>
    <row r="315" spans="2:12" ht="38.25" x14ac:dyDescent="0.25">
      <c r="B315" s="423" t="s">
        <v>188</v>
      </c>
      <c r="C315" s="376" t="s">
        <v>1543</v>
      </c>
      <c r="D315" s="423" t="s">
        <v>849</v>
      </c>
      <c r="E315" s="423" t="s">
        <v>1544</v>
      </c>
      <c r="F315" s="515" t="s">
        <v>198</v>
      </c>
      <c r="G315" s="515"/>
      <c r="H315" s="377" t="s">
        <v>851</v>
      </c>
      <c r="I315" s="378">
        <v>1.02</v>
      </c>
      <c r="J315" s="378"/>
      <c r="K315" s="379">
        <v>4.49</v>
      </c>
      <c r="L315" s="379">
        <v>4.57</v>
      </c>
    </row>
    <row r="316" spans="2:12" ht="25.5" x14ac:dyDescent="0.25">
      <c r="B316" s="423" t="s">
        <v>188</v>
      </c>
      <c r="C316" s="376" t="s">
        <v>1084</v>
      </c>
      <c r="D316" s="423" t="s">
        <v>849</v>
      </c>
      <c r="E316" s="423" t="s">
        <v>1085</v>
      </c>
      <c r="F316" s="515" t="s">
        <v>198</v>
      </c>
      <c r="G316" s="515"/>
      <c r="H316" s="377" t="s">
        <v>851</v>
      </c>
      <c r="I316" s="378">
        <v>4.4999999999999998E-2</v>
      </c>
      <c r="J316" s="378"/>
      <c r="K316" s="379">
        <v>0.34</v>
      </c>
      <c r="L316" s="379">
        <v>0.01</v>
      </c>
    </row>
    <row r="317" spans="2:12" ht="15" x14ac:dyDescent="0.25">
      <c r="B317" s="424"/>
      <c r="C317" s="424"/>
      <c r="D317" s="424"/>
      <c r="E317" s="424"/>
      <c r="F317" s="424"/>
      <c r="G317" s="380"/>
      <c r="H317" s="424"/>
      <c r="I317" s="380"/>
      <c r="J317" s="424"/>
      <c r="K317" s="380"/>
      <c r="L317"/>
    </row>
    <row r="318" spans="2:12" ht="15.75" thickBot="1" x14ac:dyDescent="0.3">
      <c r="B318" s="424"/>
      <c r="C318" s="424"/>
      <c r="D318" s="424"/>
      <c r="E318" s="424"/>
      <c r="F318" s="424"/>
      <c r="G318" s="380"/>
      <c r="H318" s="424"/>
      <c r="I318" s="516"/>
      <c r="J318" s="516"/>
      <c r="K318" s="380"/>
      <c r="L318"/>
    </row>
    <row r="319" spans="2:12" ht="13.5" thickTop="1" x14ac:dyDescent="0.25">
      <c r="B319" s="381"/>
      <c r="C319" s="381"/>
      <c r="D319" s="381"/>
      <c r="E319" s="381"/>
      <c r="F319" s="381"/>
      <c r="G319" s="381"/>
      <c r="H319" s="381"/>
      <c r="I319" s="381"/>
      <c r="J319" s="381"/>
      <c r="K319" s="381"/>
      <c r="L319" s="381"/>
    </row>
    <row r="320" spans="2:12" ht="15" x14ac:dyDescent="0.25">
      <c r="B320" s="420" t="s">
        <v>741</v>
      </c>
      <c r="C320" s="366" t="s">
        <v>0</v>
      </c>
      <c r="D320" s="420" t="s">
        <v>183</v>
      </c>
      <c r="E320" s="420" t="s">
        <v>82</v>
      </c>
      <c r="F320" s="517" t="s">
        <v>1</v>
      </c>
      <c r="G320" s="517"/>
      <c r="H320" s="367" t="s">
        <v>3</v>
      </c>
      <c r="I320" s="366" t="s">
        <v>184</v>
      </c>
      <c r="J320" s="366" t="s">
        <v>1426</v>
      </c>
      <c r="K320" s="366" t="s">
        <v>185</v>
      </c>
      <c r="L320" s="366" t="s">
        <v>4</v>
      </c>
    </row>
    <row r="321" spans="2:12" ht="38.25" x14ac:dyDescent="0.25">
      <c r="B321" s="421" t="s">
        <v>7</v>
      </c>
      <c r="C321" s="368" t="s">
        <v>858</v>
      </c>
      <c r="D321" s="421" t="s">
        <v>849</v>
      </c>
      <c r="E321" s="421" t="s">
        <v>859</v>
      </c>
      <c r="F321" s="518" t="s">
        <v>135</v>
      </c>
      <c r="G321" s="518"/>
      <c r="H321" s="369" t="s">
        <v>851</v>
      </c>
      <c r="I321" s="370">
        <v>1</v>
      </c>
      <c r="J321" s="371"/>
      <c r="K321" s="371">
        <v>4.58</v>
      </c>
      <c r="L321" s="371">
        <v>4.58</v>
      </c>
    </row>
    <row r="322" spans="2:12" ht="38.25" x14ac:dyDescent="0.25">
      <c r="B322" s="422" t="s">
        <v>187</v>
      </c>
      <c r="C322" s="372" t="s">
        <v>1078</v>
      </c>
      <c r="D322" s="422" t="s">
        <v>849</v>
      </c>
      <c r="E322" s="422" t="s">
        <v>1079</v>
      </c>
      <c r="F322" s="519" t="s">
        <v>135</v>
      </c>
      <c r="G322" s="519"/>
      <c r="H322" s="373" t="s">
        <v>1080</v>
      </c>
      <c r="I322" s="374">
        <v>3.4920600000000003E-2</v>
      </c>
      <c r="J322" s="374"/>
      <c r="K322" s="375">
        <v>20.440000000000001</v>
      </c>
      <c r="L322" s="375">
        <v>0.71</v>
      </c>
    </row>
    <row r="323" spans="2:12" ht="38.25" x14ac:dyDescent="0.25">
      <c r="B323" s="422" t="s">
        <v>187</v>
      </c>
      <c r="C323" s="372" t="s">
        <v>1081</v>
      </c>
      <c r="D323" s="422" t="s">
        <v>849</v>
      </c>
      <c r="E323" s="422" t="s">
        <v>219</v>
      </c>
      <c r="F323" s="519" t="s">
        <v>135</v>
      </c>
      <c r="G323" s="519"/>
      <c r="H323" s="373" t="s">
        <v>1080</v>
      </c>
      <c r="I323" s="374">
        <v>3.4920600000000003E-2</v>
      </c>
      <c r="J323" s="374"/>
      <c r="K323" s="375">
        <v>25.49</v>
      </c>
      <c r="L323" s="375">
        <v>0.89</v>
      </c>
    </row>
    <row r="324" spans="2:12" ht="38.25" x14ac:dyDescent="0.25">
      <c r="B324" s="423" t="s">
        <v>188</v>
      </c>
      <c r="C324" s="376" t="s">
        <v>1088</v>
      </c>
      <c r="D324" s="423" t="s">
        <v>849</v>
      </c>
      <c r="E324" s="423" t="s">
        <v>1089</v>
      </c>
      <c r="F324" s="515" t="s">
        <v>198</v>
      </c>
      <c r="G324" s="515"/>
      <c r="H324" s="377" t="s">
        <v>851</v>
      </c>
      <c r="I324" s="378">
        <v>1.02</v>
      </c>
      <c r="J324" s="378"/>
      <c r="K324" s="379">
        <v>2.92</v>
      </c>
      <c r="L324" s="379">
        <v>2.97</v>
      </c>
    </row>
    <row r="325" spans="2:12" ht="25.5" x14ac:dyDescent="0.25">
      <c r="B325" s="423" t="s">
        <v>188</v>
      </c>
      <c r="C325" s="376" t="s">
        <v>1084</v>
      </c>
      <c r="D325" s="423" t="s">
        <v>849</v>
      </c>
      <c r="E325" s="423" t="s">
        <v>1085</v>
      </c>
      <c r="F325" s="515" t="s">
        <v>198</v>
      </c>
      <c r="G325" s="515"/>
      <c r="H325" s="377" t="s">
        <v>851</v>
      </c>
      <c r="I325" s="378">
        <v>4.4999999999999998E-2</v>
      </c>
      <c r="J325" s="378"/>
      <c r="K325" s="379">
        <v>0.34</v>
      </c>
      <c r="L325" s="379">
        <v>0.01</v>
      </c>
    </row>
    <row r="326" spans="2:12" ht="15" x14ac:dyDescent="0.25">
      <c r="B326" s="424"/>
      <c r="C326" s="424"/>
      <c r="D326" s="424"/>
      <c r="E326" s="424"/>
      <c r="F326" s="424"/>
      <c r="G326" s="380"/>
      <c r="H326" s="424"/>
      <c r="I326" s="380"/>
      <c r="J326" s="424"/>
      <c r="K326" s="380"/>
      <c r="L326"/>
    </row>
    <row r="327" spans="2:12" ht="15.75" thickBot="1" x14ac:dyDescent="0.3">
      <c r="B327" s="424"/>
      <c r="C327" s="424"/>
      <c r="D327" s="424"/>
      <c r="E327" s="424"/>
      <c r="F327" s="424"/>
      <c r="G327" s="380"/>
      <c r="H327" s="424"/>
      <c r="I327" s="516"/>
      <c r="J327" s="516"/>
      <c r="K327" s="380"/>
      <c r="L327"/>
    </row>
    <row r="328" spans="2:12" ht="13.5" thickTop="1" x14ac:dyDescent="0.25">
      <c r="B328" s="381"/>
      <c r="C328" s="381"/>
      <c r="D328" s="381"/>
      <c r="E328" s="381"/>
      <c r="F328" s="381"/>
      <c r="G328" s="381"/>
      <c r="H328" s="381"/>
      <c r="I328" s="381"/>
      <c r="J328" s="381"/>
      <c r="K328" s="381"/>
      <c r="L328" s="381"/>
    </row>
    <row r="329" spans="2:12" ht="15" x14ac:dyDescent="0.25">
      <c r="B329" s="420" t="s">
        <v>1545</v>
      </c>
      <c r="C329" s="366" t="s">
        <v>0</v>
      </c>
      <c r="D329" s="420" t="s">
        <v>183</v>
      </c>
      <c r="E329" s="420" t="s">
        <v>82</v>
      </c>
      <c r="F329" s="517" t="s">
        <v>1</v>
      </c>
      <c r="G329" s="517"/>
      <c r="H329" s="367" t="s">
        <v>3</v>
      </c>
      <c r="I329" s="366" t="s">
        <v>184</v>
      </c>
      <c r="J329" s="366" t="s">
        <v>1426</v>
      </c>
      <c r="K329" s="366" t="s">
        <v>185</v>
      </c>
      <c r="L329" s="366" t="s">
        <v>4</v>
      </c>
    </row>
    <row r="330" spans="2:12" ht="25.5" x14ac:dyDescent="0.25">
      <c r="B330" s="421" t="s">
        <v>7</v>
      </c>
      <c r="C330" s="368" t="s">
        <v>861</v>
      </c>
      <c r="D330" s="421" t="s">
        <v>124</v>
      </c>
      <c r="E330" s="421" t="s">
        <v>1349</v>
      </c>
      <c r="F330" s="518">
        <v>59</v>
      </c>
      <c r="G330" s="518"/>
      <c r="H330" s="369" t="s">
        <v>35</v>
      </c>
      <c r="I330" s="370">
        <v>1</v>
      </c>
      <c r="J330" s="371"/>
      <c r="K330" s="371">
        <v>339.33</v>
      </c>
      <c r="L330" s="371">
        <v>339.33</v>
      </c>
    </row>
    <row r="331" spans="2:12" ht="38.25" x14ac:dyDescent="0.25">
      <c r="B331" s="422" t="s">
        <v>187</v>
      </c>
      <c r="C331" s="372" t="s">
        <v>218</v>
      </c>
      <c r="D331" s="422" t="s">
        <v>31</v>
      </c>
      <c r="E331" s="422" t="s">
        <v>219</v>
      </c>
      <c r="F331" s="519" t="s">
        <v>186</v>
      </c>
      <c r="G331" s="519"/>
      <c r="H331" s="373" t="s">
        <v>32</v>
      </c>
      <c r="I331" s="374">
        <v>0.49</v>
      </c>
      <c r="J331" s="374"/>
      <c r="K331" s="375">
        <v>22.58</v>
      </c>
      <c r="L331" s="375">
        <v>11.06</v>
      </c>
    </row>
    <row r="332" spans="2:12" ht="38.25" x14ac:dyDescent="0.25">
      <c r="B332" s="422" t="s">
        <v>187</v>
      </c>
      <c r="C332" s="372" t="s">
        <v>216</v>
      </c>
      <c r="D332" s="422" t="s">
        <v>31</v>
      </c>
      <c r="E332" s="422" t="s">
        <v>217</v>
      </c>
      <c r="F332" s="519" t="s">
        <v>186</v>
      </c>
      <c r="G332" s="519"/>
      <c r="H332" s="373" t="s">
        <v>32</v>
      </c>
      <c r="I332" s="374">
        <v>0.49</v>
      </c>
      <c r="J332" s="374"/>
      <c r="K332" s="375">
        <v>18.48</v>
      </c>
      <c r="L332" s="375">
        <v>9.0500000000000007</v>
      </c>
    </row>
    <row r="333" spans="2:12" x14ac:dyDescent="0.25">
      <c r="B333" s="423" t="s">
        <v>188</v>
      </c>
      <c r="C333" s="376" t="s">
        <v>1090</v>
      </c>
      <c r="D333" s="423" t="s">
        <v>212</v>
      </c>
      <c r="E333" s="423" t="s">
        <v>1091</v>
      </c>
      <c r="F333" s="515" t="s">
        <v>198</v>
      </c>
      <c r="G333" s="515"/>
      <c r="H333" s="377" t="s">
        <v>35</v>
      </c>
      <c r="I333" s="378">
        <v>1.3</v>
      </c>
      <c r="J333" s="378"/>
      <c r="K333" s="379">
        <v>245.56</v>
      </c>
      <c r="L333" s="379">
        <v>319.22000000000003</v>
      </c>
    </row>
    <row r="334" spans="2:12" ht="15" x14ac:dyDescent="0.25">
      <c r="B334" s="424"/>
      <c r="C334" s="424"/>
      <c r="D334" s="424"/>
      <c r="E334" s="424"/>
      <c r="F334" s="424"/>
      <c r="G334" s="380"/>
      <c r="H334" s="424"/>
      <c r="I334" s="380"/>
      <c r="J334" s="424"/>
      <c r="K334" s="380"/>
      <c r="L334"/>
    </row>
    <row r="335" spans="2:12" ht="15.75" thickBot="1" x14ac:dyDescent="0.3">
      <c r="B335" s="424"/>
      <c r="C335" s="424"/>
      <c r="D335" s="424"/>
      <c r="E335" s="424"/>
      <c r="F335" s="424"/>
      <c r="G335" s="380"/>
      <c r="H335" s="424"/>
      <c r="I335" s="516"/>
      <c r="J335" s="516"/>
      <c r="K335" s="380"/>
      <c r="L335"/>
    </row>
    <row r="336" spans="2:12" ht="13.5" thickTop="1" x14ac:dyDescent="0.25">
      <c r="B336" s="381"/>
      <c r="C336" s="381"/>
      <c r="D336" s="381"/>
      <c r="E336" s="381"/>
      <c r="F336" s="381"/>
      <c r="G336" s="381"/>
      <c r="H336" s="381"/>
      <c r="I336" s="381"/>
      <c r="J336" s="381"/>
      <c r="K336" s="381"/>
      <c r="L336" s="381"/>
    </row>
    <row r="337" spans="2:12" ht="15" x14ac:dyDescent="0.25">
      <c r="B337" s="420" t="s">
        <v>1623</v>
      </c>
      <c r="C337" s="366" t="s">
        <v>0</v>
      </c>
      <c r="D337" s="420" t="s">
        <v>183</v>
      </c>
      <c r="E337" s="420" t="s">
        <v>82</v>
      </c>
      <c r="F337" s="517" t="s">
        <v>1</v>
      </c>
      <c r="G337" s="517"/>
      <c r="H337" s="367" t="s">
        <v>3</v>
      </c>
      <c r="I337" s="366" t="s">
        <v>184</v>
      </c>
      <c r="J337" s="366" t="s">
        <v>1426</v>
      </c>
      <c r="K337" s="366" t="s">
        <v>185</v>
      </c>
      <c r="L337" s="366" t="s">
        <v>4</v>
      </c>
    </row>
    <row r="338" spans="2:12" ht="25.5" customHeight="1" x14ac:dyDescent="0.25">
      <c r="B338" s="421" t="s">
        <v>7</v>
      </c>
      <c r="C338" s="368" t="s">
        <v>744</v>
      </c>
      <c r="D338" s="421" t="s">
        <v>31</v>
      </c>
      <c r="E338" s="421" t="s">
        <v>745</v>
      </c>
      <c r="F338" s="518" t="s">
        <v>215</v>
      </c>
      <c r="G338" s="518"/>
      <c r="H338" s="369" t="s">
        <v>22</v>
      </c>
      <c r="I338" s="370">
        <v>1</v>
      </c>
      <c r="J338" s="371"/>
      <c r="K338" s="371">
        <v>50.9</v>
      </c>
      <c r="L338" s="371">
        <v>50.9</v>
      </c>
    </row>
    <row r="339" spans="2:12" ht="38.25" customHeight="1" x14ac:dyDescent="0.25">
      <c r="B339" s="422" t="s">
        <v>187</v>
      </c>
      <c r="C339" s="372" t="s">
        <v>320</v>
      </c>
      <c r="D339" s="422" t="s">
        <v>31</v>
      </c>
      <c r="E339" s="422" t="s">
        <v>321</v>
      </c>
      <c r="F339" s="519" t="s">
        <v>215</v>
      </c>
      <c r="G339" s="519"/>
      <c r="H339" s="373" t="s">
        <v>22</v>
      </c>
      <c r="I339" s="374">
        <v>1</v>
      </c>
      <c r="J339" s="374"/>
      <c r="K339" s="375">
        <v>7.27</v>
      </c>
      <c r="L339" s="375">
        <v>7.27</v>
      </c>
    </row>
    <row r="340" spans="2:12" ht="38.25" customHeight="1" x14ac:dyDescent="0.25">
      <c r="B340" s="422" t="s">
        <v>187</v>
      </c>
      <c r="C340" s="372" t="s">
        <v>1621</v>
      </c>
      <c r="D340" s="422" t="s">
        <v>31</v>
      </c>
      <c r="E340" s="422" t="s">
        <v>1622</v>
      </c>
      <c r="F340" s="519" t="s">
        <v>215</v>
      </c>
      <c r="G340" s="519"/>
      <c r="H340" s="373" t="s">
        <v>22</v>
      </c>
      <c r="I340" s="374">
        <v>1</v>
      </c>
      <c r="J340" s="374"/>
      <c r="K340" s="375">
        <v>43.63</v>
      </c>
      <c r="L340" s="375">
        <v>43.63</v>
      </c>
    </row>
    <row r="341" spans="2:12" ht="15" x14ac:dyDescent="0.25">
      <c r="B341" s="424"/>
      <c r="C341" s="424"/>
      <c r="D341" s="424"/>
      <c r="E341" s="424"/>
      <c r="F341" s="424"/>
      <c r="G341" s="380"/>
      <c r="H341" s="424"/>
      <c r="I341" s="380"/>
      <c r="J341" s="424"/>
      <c r="K341" s="380"/>
      <c r="L341"/>
    </row>
    <row r="342" spans="2:12" ht="15.75" thickBot="1" x14ac:dyDescent="0.3">
      <c r="B342" s="424"/>
      <c r="C342" s="424"/>
      <c r="D342" s="424"/>
      <c r="E342" s="424"/>
      <c r="F342" s="424"/>
      <c r="G342" s="380"/>
      <c r="H342" s="424"/>
      <c r="I342" s="516"/>
      <c r="J342" s="516"/>
      <c r="K342" s="380"/>
      <c r="L342"/>
    </row>
    <row r="343" spans="2:12" ht="13.5" thickTop="1" x14ac:dyDescent="0.25">
      <c r="B343" s="381"/>
      <c r="C343" s="381"/>
      <c r="D343" s="381"/>
      <c r="E343" s="381"/>
      <c r="F343" s="381"/>
      <c r="G343" s="381"/>
      <c r="H343" s="381"/>
      <c r="I343" s="381"/>
      <c r="J343" s="381"/>
      <c r="K343" s="381"/>
      <c r="L343" s="381"/>
    </row>
    <row r="344" spans="2:12" ht="15" x14ac:dyDescent="0.25">
      <c r="B344" s="420" t="s">
        <v>1546</v>
      </c>
      <c r="C344" s="366" t="s">
        <v>0</v>
      </c>
      <c r="D344" s="420" t="s">
        <v>183</v>
      </c>
      <c r="E344" s="420" t="s">
        <v>82</v>
      </c>
      <c r="F344" s="517" t="s">
        <v>1</v>
      </c>
      <c r="G344" s="517"/>
      <c r="H344" s="367" t="s">
        <v>3</v>
      </c>
      <c r="I344" s="366" t="s">
        <v>184</v>
      </c>
      <c r="J344" s="366" t="s">
        <v>1426</v>
      </c>
      <c r="K344" s="366" t="s">
        <v>185</v>
      </c>
      <c r="L344" s="366" t="s">
        <v>4</v>
      </c>
    </row>
    <row r="345" spans="2:12" ht="25.5" x14ac:dyDescent="0.25">
      <c r="B345" s="421" t="s">
        <v>7</v>
      </c>
      <c r="C345" s="368" t="s">
        <v>873</v>
      </c>
      <c r="D345" s="421" t="s">
        <v>874</v>
      </c>
      <c r="E345" s="421" t="s">
        <v>875</v>
      </c>
      <c r="F345" s="518">
        <v>7</v>
      </c>
      <c r="G345" s="518"/>
      <c r="H345" s="369" t="s">
        <v>824</v>
      </c>
      <c r="I345" s="370">
        <v>1</v>
      </c>
      <c r="J345" s="371"/>
      <c r="K345" s="371">
        <v>14.56</v>
      </c>
      <c r="L345" s="371">
        <v>14.56</v>
      </c>
    </row>
    <row r="346" spans="2:12" ht="25.5" x14ac:dyDescent="0.25">
      <c r="B346" s="423" t="s">
        <v>188</v>
      </c>
      <c r="C346" s="376" t="s">
        <v>1100</v>
      </c>
      <c r="D346" s="423" t="s">
        <v>874</v>
      </c>
      <c r="E346" s="423" t="s">
        <v>875</v>
      </c>
      <c r="F346" s="515" t="s">
        <v>198</v>
      </c>
      <c r="G346" s="515"/>
      <c r="H346" s="377" t="s">
        <v>225</v>
      </c>
      <c r="I346" s="378">
        <v>1</v>
      </c>
      <c r="J346" s="378"/>
      <c r="K346" s="379">
        <v>5.64</v>
      </c>
      <c r="L346" s="379">
        <v>5.64</v>
      </c>
    </row>
    <row r="347" spans="2:12" ht="25.5" x14ac:dyDescent="0.25">
      <c r="B347" s="423" t="s">
        <v>188</v>
      </c>
      <c r="C347" s="376" t="s">
        <v>1101</v>
      </c>
      <c r="D347" s="423" t="s">
        <v>874</v>
      </c>
      <c r="E347" s="423" t="s">
        <v>1102</v>
      </c>
      <c r="F347" s="515" t="s">
        <v>189</v>
      </c>
      <c r="G347" s="515"/>
      <c r="H347" s="377" t="s">
        <v>1099</v>
      </c>
      <c r="I347" s="378">
        <v>0.28999999999999998</v>
      </c>
      <c r="J347" s="378"/>
      <c r="K347" s="379">
        <v>12.31</v>
      </c>
      <c r="L347" s="379">
        <v>3.56</v>
      </c>
    </row>
    <row r="348" spans="2:12" ht="25.5" x14ac:dyDescent="0.25">
      <c r="B348" s="423" t="s">
        <v>188</v>
      </c>
      <c r="C348" s="376" t="s">
        <v>1103</v>
      </c>
      <c r="D348" s="423" t="s">
        <v>874</v>
      </c>
      <c r="E348" s="423" t="s">
        <v>223</v>
      </c>
      <c r="F348" s="515" t="s">
        <v>189</v>
      </c>
      <c r="G348" s="515"/>
      <c r="H348" s="377" t="s">
        <v>1099</v>
      </c>
      <c r="I348" s="378">
        <v>0.28999999999999998</v>
      </c>
      <c r="J348" s="378"/>
      <c r="K348" s="379">
        <v>18.510000000000002</v>
      </c>
      <c r="L348" s="379">
        <v>5.36</v>
      </c>
    </row>
    <row r="349" spans="2:12" ht="15" x14ac:dyDescent="0.25">
      <c r="B349" s="424"/>
      <c r="C349" s="424"/>
      <c r="D349" s="424"/>
      <c r="E349" s="424"/>
      <c r="F349" s="424"/>
      <c r="G349" s="380"/>
      <c r="H349" s="424"/>
      <c r="I349" s="380"/>
      <c r="J349" s="424"/>
      <c r="K349" s="380"/>
      <c r="L349"/>
    </row>
    <row r="350" spans="2:12" ht="15.75" thickBot="1" x14ac:dyDescent="0.3">
      <c r="B350" s="424"/>
      <c r="C350" s="424"/>
      <c r="D350" s="424"/>
      <c r="E350" s="424"/>
      <c r="F350" s="424"/>
      <c r="G350" s="380"/>
      <c r="H350" s="424"/>
      <c r="I350" s="516"/>
      <c r="J350" s="516"/>
      <c r="K350" s="380"/>
      <c r="L350"/>
    </row>
    <row r="351" spans="2:12" ht="13.5" thickTop="1" x14ac:dyDescent="0.25">
      <c r="B351" s="381"/>
      <c r="C351" s="381"/>
      <c r="D351" s="381"/>
      <c r="E351" s="381"/>
      <c r="F351" s="381"/>
      <c r="G351" s="381"/>
      <c r="H351" s="381"/>
      <c r="I351" s="381"/>
      <c r="J351" s="381"/>
      <c r="K351" s="381"/>
      <c r="L351" s="381"/>
    </row>
    <row r="352" spans="2:12" ht="15" x14ac:dyDescent="0.25">
      <c r="B352" s="420" t="s">
        <v>1547</v>
      </c>
      <c r="C352" s="366" t="s">
        <v>0</v>
      </c>
      <c r="D352" s="420" t="s">
        <v>183</v>
      </c>
      <c r="E352" s="420" t="s">
        <v>82</v>
      </c>
      <c r="F352" s="517" t="s">
        <v>1</v>
      </c>
      <c r="G352" s="517"/>
      <c r="H352" s="367" t="s">
        <v>3</v>
      </c>
      <c r="I352" s="366" t="s">
        <v>184</v>
      </c>
      <c r="J352" s="366" t="s">
        <v>1426</v>
      </c>
      <c r="K352" s="366" t="s">
        <v>185</v>
      </c>
      <c r="L352" s="366" t="s">
        <v>4</v>
      </c>
    </row>
    <row r="353" spans="2:12" ht="25.5" x14ac:dyDescent="0.25">
      <c r="B353" s="421" t="s">
        <v>7</v>
      </c>
      <c r="C353" s="368" t="s">
        <v>876</v>
      </c>
      <c r="D353" s="421" t="s">
        <v>874</v>
      </c>
      <c r="E353" s="421" t="s">
        <v>877</v>
      </c>
      <c r="F353" s="518">
        <v>7</v>
      </c>
      <c r="G353" s="518"/>
      <c r="H353" s="369" t="s">
        <v>225</v>
      </c>
      <c r="I353" s="370">
        <v>1</v>
      </c>
      <c r="J353" s="371"/>
      <c r="K353" s="371">
        <v>20.81</v>
      </c>
      <c r="L353" s="371">
        <v>20.81</v>
      </c>
    </row>
    <row r="354" spans="2:12" ht="25.5" x14ac:dyDescent="0.25">
      <c r="B354" s="423" t="s">
        <v>188</v>
      </c>
      <c r="C354" s="376" t="s">
        <v>1104</v>
      </c>
      <c r="D354" s="423" t="s">
        <v>874</v>
      </c>
      <c r="E354" s="423" t="s">
        <v>877</v>
      </c>
      <c r="F354" s="515" t="s">
        <v>198</v>
      </c>
      <c r="G354" s="515"/>
      <c r="H354" s="377" t="s">
        <v>225</v>
      </c>
      <c r="I354" s="378">
        <v>1</v>
      </c>
      <c r="J354" s="378"/>
      <c r="K354" s="379">
        <v>10.96</v>
      </c>
      <c r="L354" s="379">
        <v>10.96</v>
      </c>
    </row>
    <row r="355" spans="2:12" ht="25.5" x14ac:dyDescent="0.25">
      <c r="B355" s="423" t="s">
        <v>188</v>
      </c>
      <c r="C355" s="376" t="s">
        <v>1101</v>
      </c>
      <c r="D355" s="423" t="s">
        <v>874</v>
      </c>
      <c r="E355" s="423" t="s">
        <v>1102</v>
      </c>
      <c r="F355" s="515" t="s">
        <v>189</v>
      </c>
      <c r="G355" s="515"/>
      <c r="H355" s="377" t="s">
        <v>1099</v>
      </c>
      <c r="I355" s="378">
        <v>0.32</v>
      </c>
      <c r="J355" s="378"/>
      <c r="K355" s="379">
        <v>12.31</v>
      </c>
      <c r="L355" s="379">
        <v>3.93</v>
      </c>
    </row>
    <row r="356" spans="2:12" ht="25.5" x14ac:dyDescent="0.25">
      <c r="B356" s="423" t="s">
        <v>188</v>
      </c>
      <c r="C356" s="376" t="s">
        <v>1103</v>
      </c>
      <c r="D356" s="423" t="s">
        <v>874</v>
      </c>
      <c r="E356" s="423" t="s">
        <v>223</v>
      </c>
      <c r="F356" s="515" t="s">
        <v>189</v>
      </c>
      <c r="G356" s="515"/>
      <c r="H356" s="377" t="s">
        <v>1099</v>
      </c>
      <c r="I356" s="378">
        <v>0.32</v>
      </c>
      <c r="J356" s="378"/>
      <c r="K356" s="379">
        <v>18.510000000000002</v>
      </c>
      <c r="L356" s="379">
        <v>5.92</v>
      </c>
    </row>
    <row r="357" spans="2:12" ht="15" x14ac:dyDescent="0.25">
      <c r="B357" s="424"/>
      <c r="C357" s="424"/>
      <c r="D357" s="424"/>
      <c r="E357" s="424"/>
      <c r="F357" s="424"/>
      <c r="G357" s="380"/>
      <c r="H357" s="424"/>
      <c r="I357" s="380"/>
      <c r="J357" s="424"/>
      <c r="K357" s="380"/>
      <c r="L357"/>
    </row>
    <row r="358" spans="2:12" ht="15" x14ac:dyDescent="0.25">
      <c r="B358" s="424"/>
      <c r="C358" s="424"/>
      <c r="D358" s="424"/>
      <c r="E358" s="424"/>
      <c r="F358" s="424"/>
      <c r="G358" s="380"/>
      <c r="H358" s="424"/>
      <c r="I358" s="516"/>
      <c r="J358" s="516"/>
      <c r="K358" s="380"/>
      <c r="L358"/>
    </row>
    <row r="359" spans="2:12" ht="15" x14ac:dyDescent="0.25">
      <c r="B359" s="420" t="s">
        <v>863</v>
      </c>
      <c r="C359" s="366" t="s">
        <v>0</v>
      </c>
      <c r="D359" s="420" t="s">
        <v>183</v>
      </c>
      <c r="E359" s="420" t="s">
        <v>82</v>
      </c>
      <c r="F359" s="517" t="s">
        <v>1</v>
      </c>
      <c r="G359" s="517"/>
      <c r="H359" s="367" t="s">
        <v>3</v>
      </c>
      <c r="I359" s="366" t="s">
        <v>184</v>
      </c>
      <c r="J359" s="366" t="s">
        <v>1426</v>
      </c>
      <c r="K359" s="366" t="s">
        <v>185</v>
      </c>
      <c r="L359" s="366" t="s">
        <v>4</v>
      </c>
    </row>
    <row r="360" spans="2:12" ht="38.25" x14ac:dyDescent="0.25">
      <c r="B360" s="421" t="s">
        <v>7</v>
      </c>
      <c r="C360" s="368" t="s">
        <v>1225</v>
      </c>
      <c r="D360" s="421" t="s">
        <v>1226</v>
      </c>
      <c r="E360" s="421" t="s">
        <v>1227</v>
      </c>
      <c r="F360" s="518">
        <v>9.0500000000000007</v>
      </c>
      <c r="G360" s="518"/>
      <c r="H360" s="369" t="s">
        <v>22</v>
      </c>
      <c r="I360" s="370">
        <v>1</v>
      </c>
      <c r="J360" s="371"/>
      <c r="K360" s="371">
        <v>511.56</v>
      </c>
      <c r="L360" s="371">
        <v>511.56</v>
      </c>
    </row>
    <row r="361" spans="2:12" x14ac:dyDescent="0.25">
      <c r="B361" s="423" t="s">
        <v>188</v>
      </c>
      <c r="C361" s="376" t="s">
        <v>1548</v>
      </c>
      <c r="D361" s="423" t="s">
        <v>1226</v>
      </c>
      <c r="E361" s="423" t="s">
        <v>1549</v>
      </c>
      <c r="F361" s="515" t="s">
        <v>189</v>
      </c>
      <c r="G361" s="515"/>
      <c r="H361" s="377" t="s">
        <v>32</v>
      </c>
      <c r="I361" s="378">
        <v>1</v>
      </c>
      <c r="J361" s="378"/>
      <c r="K361" s="379">
        <v>16.760000000000002</v>
      </c>
      <c r="L361" s="379">
        <v>16.760000000000002</v>
      </c>
    </row>
    <row r="362" spans="2:12" x14ac:dyDescent="0.25">
      <c r="B362" s="423" t="s">
        <v>188</v>
      </c>
      <c r="C362" s="376" t="s">
        <v>1550</v>
      </c>
      <c r="D362" s="423" t="s">
        <v>1226</v>
      </c>
      <c r="E362" s="423" t="s">
        <v>223</v>
      </c>
      <c r="F362" s="515" t="s">
        <v>189</v>
      </c>
      <c r="G362" s="515"/>
      <c r="H362" s="377" t="s">
        <v>32</v>
      </c>
      <c r="I362" s="378">
        <v>1</v>
      </c>
      <c r="J362" s="378"/>
      <c r="K362" s="379">
        <v>23.21</v>
      </c>
      <c r="L362" s="379">
        <v>23.21</v>
      </c>
    </row>
    <row r="363" spans="2:12" x14ac:dyDescent="0.25">
      <c r="B363" s="423" t="s">
        <v>188</v>
      </c>
      <c r="C363" s="376" t="s">
        <v>1551</v>
      </c>
      <c r="D363" s="423" t="s">
        <v>1226</v>
      </c>
      <c r="E363" s="423" t="s">
        <v>1552</v>
      </c>
      <c r="F363" s="515" t="s">
        <v>198</v>
      </c>
      <c r="G363" s="515"/>
      <c r="H363" s="377" t="s">
        <v>35</v>
      </c>
      <c r="I363" s="378">
        <v>3</v>
      </c>
      <c r="J363" s="378"/>
      <c r="K363" s="379">
        <v>15.83</v>
      </c>
      <c r="L363" s="379">
        <v>47.49</v>
      </c>
    </row>
    <row r="364" spans="2:12" x14ac:dyDescent="0.25">
      <c r="B364" s="423" t="s">
        <v>188</v>
      </c>
      <c r="C364" s="376" t="s">
        <v>1553</v>
      </c>
      <c r="D364" s="423" t="s">
        <v>1226</v>
      </c>
      <c r="E364" s="423" t="s">
        <v>1554</v>
      </c>
      <c r="F364" s="515" t="s">
        <v>198</v>
      </c>
      <c r="G364" s="515"/>
      <c r="H364" s="377" t="s">
        <v>35</v>
      </c>
      <c r="I364" s="378">
        <v>3</v>
      </c>
      <c r="J364" s="378"/>
      <c r="K364" s="379">
        <v>10.119999999999999</v>
      </c>
      <c r="L364" s="379">
        <v>30.36</v>
      </c>
    </row>
    <row r="365" spans="2:12" x14ac:dyDescent="0.25">
      <c r="B365" s="423" t="s">
        <v>188</v>
      </c>
      <c r="C365" s="376" t="s">
        <v>1555</v>
      </c>
      <c r="D365" s="423" t="s">
        <v>1226</v>
      </c>
      <c r="E365" s="423" t="s">
        <v>1556</v>
      </c>
      <c r="F365" s="515" t="s">
        <v>198</v>
      </c>
      <c r="G365" s="515"/>
      <c r="H365" s="377" t="s">
        <v>22</v>
      </c>
      <c r="I365" s="378">
        <v>1</v>
      </c>
      <c r="J365" s="378"/>
      <c r="K365" s="379">
        <v>353.6</v>
      </c>
      <c r="L365" s="379">
        <v>353.6</v>
      </c>
    </row>
    <row r="366" spans="2:12" x14ac:dyDescent="0.25">
      <c r="B366" s="423" t="s">
        <v>188</v>
      </c>
      <c r="C366" s="376" t="s">
        <v>1557</v>
      </c>
      <c r="D366" s="423" t="s">
        <v>1226</v>
      </c>
      <c r="E366" s="423" t="s">
        <v>1558</v>
      </c>
      <c r="F366" s="515" t="s">
        <v>198</v>
      </c>
      <c r="G366" s="515"/>
      <c r="H366" s="377" t="s">
        <v>22</v>
      </c>
      <c r="I366" s="378">
        <v>3</v>
      </c>
      <c r="J366" s="378"/>
      <c r="K366" s="379">
        <v>5.69</v>
      </c>
      <c r="L366" s="379">
        <v>17.07</v>
      </c>
    </row>
    <row r="367" spans="2:12" x14ac:dyDescent="0.25">
      <c r="B367" s="423" t="s">
        <v>188</v>
      </c>
      <c r="C367" s="376" t="s">
        <v>1559</v>
      </c>
      <c r="D367" s="423" t="s">
        <v>1226</v>
      </c>
      <c r="E367" s="423" t="s">
        <v>1560</v>
      </c>
      <c r="F367" s="515" t="s">
        <v>198</v>
      </c>
      <c r="G367" s="515"/>
      <c r="H367" s="377" t="s">
        <v>22</v>
      </c>
      <c r="I367" s="378">
        <v>3</v>
      </c>
      <c r="J367" s="378"/>
      <c r="K367" s="379">
        <v>7.69</v>
      </c>
      <c r="L367" s="379">
        <v>23.07</v>
      </c>
    </row>
    <row r="368" spans="2:12" ht="15" x14ac:dyDescent="0.25">
      <c r="B368" s="424"/>
      <c r="C368" s="424"/>
      <c r="D368" s="424"/>
      <c r="E368" s="424"/>
      <c r="F368" s="424"/>
      <c r="G368" s="380"/>
      <c r="H368" s="424"/>
      <c r="I368" s="380"/>
      <c r="J368" s="424"/>
      <c r="K368" s="380"/>
      <c r="L368"/>
    </row>
    <row r="369" spans="2:12" ht="15" x14ac:dyDescent="0.25">
      <c r="B369" s="424"/>
      <c r="C369" s="424"/>
      <c r="D369" s="424"/>
      <c r="E369" s="424"/>
      <c r="F369" s="424"/>
      <c r="G369" s="380"/>
      <c r="H369" s="424"/>
      <c r="I369" s="516"/>
      <c r="J369" s="516"/>
      <c r="K369" s="380"/>
      <c r="L369"/>
    </row>
    <row r="370" spans="2:12" ht="15" x14ac:dyDescent="0.25">
      <c r="B370" s="420" t="s">
        <v>1564</v>
      </c>
      <c r="C370" s="366" t="s">
        <v>0</v>
      </c>
      <c r="D370" s="420" t="s">
        <v>183</v>
      </c>
      <c r="E370" s="420" t="s">
        <v>82</v>
      </c>
      <c r="F370" s="517" t="s">
        <v>1</v>
      </c>
      <c r="G370" s="517"/>
      <c r="H370" s="367" t="s">
        <v>3</v>
      </c>
      <c r="I370" s="366" t="s">
        <v>184</v>
      </c>
      <c r="J370" s="366" t="s">
        <v>1426</v>
      </c>
      <c r="K370" s="366" t="s">
        <v>185</v>
      </c>
      <c r="L370" s="366" t="s">
        <v>4</v>
      </c>
    </row>
    <row r="371" spans="2:12" ht="25.5" x14ac:dyDescent="0.25">
      <c r="B371" s="421" t="s">
        <v>7</v>
      </c>
      <c r="C371" s="368" t="s">
        <v>1561</v>
      </c>
      <c r="D371" s="421" t="s">
        <v>31</v>
      </c>
      <c r="E371" s="421" t="s">
        <v>1268</v>
      </c>
      <c r="F371" s="518" t="s">
        <v>215</v>
      </c>
      <c r="G371" s="518"/>
      <c r="H371" s="369" t="s">
        <v>22</v>
      </c>
      <c r="I371" s="370">
        <v>1</v>
      </c>
      <c r="J371" s="371"/>
      <c r="K371" s="371">
        <v>23.45</v>
      </c>
      <c r="L371" s="371">
        <v>23.45</v>
      </c>
    </row>
    <row r="372" spans="2:12" ht="38.25" x14ac:dyDescent="0.25">
      <c r="B372" s="422" t="s">
        <v>187</v>
      </c>
      <c r="C372" s="372" t="s">
        <v>1562</v>
      </c>
      <c r="D372" s="422" t="s">
        <v>31</v>
      </c>
      <c r="E372" s="422" t="s">
        <v>1563</v>
      </c>
      <c r="F372" s="519" t="s">
        <v>215</v>
      </c>
      <c r="G372" s="519"/>
      <c r="H372" s="373" t="s">
        <v>22</v>
      </c>
      <c r="I372" s="374">
        <v>1</v>
      </c>
      <c r="J372" s="374"/>
      <c r="K372" s="375">
        <v>16.18</v>
      </c>
      <c r="L372" s="375">
        <v>16.18</v>
      </c>
    </row>
    <row r="373" spans="2:12" ht="38.25" x14ac:dyDescent="0.25">
      <c r="B373" s="422" t="s">
        <v>187</v>
      </c>
      <c r="C373" s="372" t="s">
        <v>320</v>
      </c>
      <c r="D373" s="422" t="s">
        <v>31</v>
      </c>
      <c r="E373" s="422" t="s">
        <v>321</v>
      </c>
      <c r="F373" s="519" t="s">
        <v>215</v>
      </c>
      <c r="G373" s="519"/>
      <c r="H373" s="373" t="s">
        <v>22</v>
      </c>
      <c r="I373" s="374">
        <v>1</v>
      </c>
      <c r="J373" s="374"/>
      <c r="K373" s="375">
        <v>7.27</v>
      </c>
      <c r="L373" s="375">
        <v>7.27</v>
      </c>
    </row>
    <row r="374" spans="2:12" ht="15" x14ac:dyDescent="0.25">
      <c r="B374" s="424"/>
      <c r="C374" s="424"/>
      <c r="D374" s="424"/>
      <c r="E374" s="424"/>
      <c r="F374" s="424"/>
      <c r="G374" s="380"/>
      <c r="H374" s="424"/>
      <c r="I374" s="380"/>
      <c r="J374" s="424"/>
      <c r="K374" s="380"/>
      <c r="L374"/>
    </row>
    <row r="375" spans="2:12" ht="15" x14ac:dyDescent="0.25">
      <c r="B375" s="424"/>
      <c r="C375" s="424"/>
      <c r="D375" s="424"/>
      <c r="E375" s="424"/>
      <c r="F375" s="424"/>
      <c r="G375" s="380"/>
      <c r="H375" s="424"/>
      <c r="I375" s="516"/>
      <c r="J375" s="516"/>
      <c r="K375" s="380"/>
      <c r="L375"/>
    </row>
    <row r="376" spans="2:12" ht="15" x14ac:dyDescent="0.25">
      <c r="B376" s="420" t="s">
        <v>1565</v>
      </c>
      <c r="C376" s="366" t="s">
        <v>0</v>
      </c>
      <c r="D376" s="420" t="s">
        <v>183</v>
      </c>
      <c r="E376" s="420" t="s">
        <v>82</v>
      </c>
      <c r="F376" s="517" t="s">
        <v>1</v>
      </c>
      <c r="G376" s="517"/>
      <c r="H376" s="367" t="s">
        <v>3</v>
      </c>
      <c r="I376" s="366" t="s">
        <v>184</v>
      </c>
      <c r="J376" s="366" t="s">
        <v>1426</v>
      </c>
      <c r="K376" s="366" t="s">
        <v>185</v>
      </c>
      <c r="L376" s="366" t="s">
        <v>4</v>
      </c>
    </row>
    <row r="377" spans="2:12" ht="38.25" x14ac:dyDescent="0.25">
      <c r="B377" s="421" t="s">
        <v>7</v>
      </c>
      <c r="C377" s="368" t="s">
        <v>867</v>
      </c>
      <c r="D377" s="421" t="s">
        <v>31</v>
      </c>
      <c r="E377" s="421" t="s">
        <v>868</v>
      </c>
      <c r="F377" s="518" t="s">
        <v>215</v>
      </c>
      <c r="G377" s="518"/>
      <c r="H377" s="369" t="s">
        <v>22</v>
      </c>
      <c r="I377" s="370">
        <v>1</v>
      </c>
      <c r="J377" s="371"/>
      <c r="K377" s="371">
        <v>47.02</v>
      </c>
      <c r="L377" s="371">
        <v>47.02</v>
      </c>
    </row>
    <row r="378" spans="2:12" ht="38.25" x14ac:dyDescent="0.25">
      <c r="B378" s="422" t="s">
        <v>187</v>
      </c>
      <c r="C378" s="372" t="s">
        <v>320</v>
      </c>
      <c r="D378" s="422" t="s">
        <v>31</v>
      </c>
      <c r="E378" s="422" t="s">
        <v>321</v>
      </c>
      <c r="F378" s="519" t="s">
        <v>215</v>
      </c>
      <c r="G378" s="519"/>
      <c r="H378" s="373" t="s">
        <v>22</v>
      </c>
      <c r="I378" s="374">
        <v>1</v>
      </c>
      <c r="J378" s="374"/>
      <c r="K378" s="375">
        <v>7.27</v>
      </c>
      <c r="L378" s="375">
        <v>7.27</v>
      </c>
    </row>
    <row r="379" spans="2:12" ht="38.25" x14ac:dyDescent="0.25">
      <c r="B379" s="422" t="s">
        <v>187</v>
      </c>
      <c r="C379" s="372" t="s">
        <v>1093</v>
      </c>
      <c r="D379" s="422" t="s">
        <v>31</v>
      </c>
      <c r="E379" s="422" t="s">
        <v>1094</v>
      </c>
      <c r="F379" s="519" t="s">
        <v>215</v>
      </c>
      <c r="G379" s="519"/>
      <c r="H379" s="373" t="s">
        <v>22</v>
      </c>
      <c r="I379" s="374">
        <v>1</v>
      </c>
      <c r="J379" s="374"/>
      <c r="K379" s="375">
        <v>39.75</v>
      </c>
      <c r="L379" s="375">
        <v>39.75</v>
      </c>
    </row>
    <row r="380" spans="2:12" ht="15" x14ac:dyDescent="0.25">
      <c r="B380" s="424"/>
      <c r="C380" s="424"/>
      <c r="D380" s="424"/>
      <c r="E380" s="424"/>
      <c r="F380" s="424"/>
      <c r="G380" s="380"/>
      <c r="H380" s="424"/>
      <c r="I380" s="380"/>
      <c r="J380" s="424"/>
      <c r="K380" s="380"/>
      <c r="L380"/>
    </row>
    <row r="381" spans="2:12" ht="15.75" thickBot="1" x14ac:dyDescent="0.3">
      <c r="B381" s="424"/>
      <c r="C381" s="424"/>
      <c r="D381" s="424"/>
      <c r="E381" s="424"/>
      <c r="F381" s="424"/>
      <c r="G381" s="380"/>
      <c r="H381" s="424"/>
      <c r="I381" s="516"/>
      <c r="J381" s="516"/>
      <c r="K381" s="380"/>
      <c r="L381"/>
    </row>
    <row r="382" spans="2:12" ht="13.5" thickTop="1" x14ac:dyDescent="0.25">
      <c r="B382" s="381"/>
      <c r="C382" s="381"/>
      <c r="D382" s="381"/>
      <c r="E382" s="381"/>
      <c r="F382" s="381"/>
      <c r="G382" s="381"/>
      <c r="H382" s="381"/>
      <c r="I382" s="381"/>
      <c r="J382" s="381"/>
      <c r="K382" s="381"/>
      <c r="L382" s="381"/>
    </row>
    <row r="383" spans="2:12" ht="15" x14ac:dyDescent="0.25">
      <c r="B383" s="420" t="s">
        <v>1105</v>
      </c>
      <c r="C383" s="366" t="s">
        <v>0</v>
      </c>
      <c r="D383" s="420" t="s">
        <v>183</v>
      </c>
      <c r="E383" s="420" t="s">
        <v>82</v>
      </c>
      <c r="F383" s="517" t="s">
        <v>1</v>
      </c>
      <c r="G383" s="517"/>
      <c r="H383" s="367" t="s">
        <v>3</v>
      </c>
      <c r="I383" s="366" t="s">
        <v>184</v>
      </c>
      <c r="J383" s="366" t="s">
        <v>1426</v>
      </c>
      <c r="K383" s="366" t="s">
        <v>185</v>
      </c>
      <c r="L383" s="366" t="s">
        <v>4</v>
      </c>
    </row>
    <row r="384" spans="2:12" ht="25.5" x14ac:dyDescent="0.25">
      <c r="B384" s="421" t="s">
        <v>7</v>
      </c>
      <c r="C384" s="368" t="s">
        <v>889</v>
      </c>
      <c r="D384" s="421" t="s">
        <v>849</v>
      </c>
      <c r="E384" s="421" t="s">
        <v>890</v>
      </c>
      <c r="F384" s="518" t="s">
        <v>135</v>
      </c>
      <c r="G384" s="518"/>
      <c r="H384" s="369" t="s">
        <v>225</v>
      </c>
      <c r="I384" s="370">
        <v>1</v>
      </c>
      <c r="J384" s="371"/>
      <c r="K384" s="371">
        <v>92.62</v>
      </c>
      <c r="L384" s="371">
        <v>92.62</v>
      </c>
    </row>
    <row r="385" spans="2:12" ht="38.25" x14ac:dyDescent="0.25">
      <c r="B385" s="422" t="s">
        <v>187</v>
      </c>
      <c r="C385" s="372" t="s">
        <v>1078</v>
      </c>
      <c r="D385" s="422" t="s">
        <v>849</v>
      </c>
      <c r="E385" s="422" t="s">
        <v>1079</v>
      </c>
      <c r="F385" s="519" t="s">
        <v>135</v>
      </c>
      <c r="G385" s="519"/>
      <c r="H385" s="373" t="s">
        <v>1080</v>
      </c>
      <c r="I385" s="374">
        <v>1</v>
      </c>
      <c r="J385" s="374"/>
      <c r="K385" s="375">
        <v>20.440000000000001</v>
      </c>
      <c r="L385" s="375">
        <v>20.440000000000001</v>
      </c>
    </row>
    <row r="386" spans="2:12" ht="38.25" x14ac:dyDescent="0.25">
      <c r="B386" s="422" t="s">
        <v>187</v>
      </c>
      <c r="C386" s="372" t="s">
        <v>1081</v>
      </c>
      <c r="D386" s="422" t="s">
        <v>849</v>
      </c>
      <c r="E386" s="422" t="s">
        <v>219</v>
      </c>
      <c r="F386" s="519" t="s">
        <v>135</v>
      </c>
      <c r="G386" s="519"/>
      <c r="H386" s="373" t="s">
        <v>1080</v>
      </c>
      <c r="I386" s="374">
        <v>1</v>
      </c>
      <c r="J386" s="374"/>
      <c r="K386" s="375">
        <v>25.49</v>
      </c>
      <c r="L386" s="375">
        <v>25.49</v>
      </c>
    </row>
    <row r="387" spans="2:12" ht="25.5" x14ac:dyDescent="0.25">
      <c r="B387" s="423" t="s">
        <v>188</v>
      </c>
      <c r="C387" s="376" t="s">
        <v>1106</v>
      </c>
      <c r="D387" s="423" t="s">
        <v>849</v>
      </c>
      <c r="E387" s="423" t="s">
        <v>1107</v>
      </c>
      <c r="F387" s="515" t="s">
        <v>198</v>
      </c>
      <c r="G387" s="515"/>
      <c r="H387" s="377" t="s">
        <v>225</v>
      </c>
      <c r="I387" s="378">
        <v>1</v>
      </c>
      <c r="J387" s="378"/>
      <c r="K387" s="379">
        <v>46.69</v>
      </c>
      <c r="L387" s="379">
        <v>46.69</v>
      </c>
    </row>
    <row r="388" spans="2:12" ht="15" x14ac:dyDescent="0.25">
      <c r="B388" s="424"/>
      <c r="C388" s="424"/>
      <c r="D388" s="424"/>
      <c r="E388" s="424"/>
      <c r="F388" s="424"/>
      <c r="G388" s="380"/>
      <c r="H388" s="424"/>
      <c r="I388" s="380"/>
      <c r="J388" s="424"/>
      <c r="K388" s="380"/>
      <c r="L388"/>
    </row>
    <row r="389" spans="2:12" ht="15.75" thickBot="1" x14ac:dyDescent="0.3">
      <c r="B389" s="424"/>
      <c r="C389" s="424"/>
      <c r="D389" s="424"/>
      <c r="E389" s="424"/>
      <c r="F389" s="424"/>
      <c r="G389" s="380"/>
      <c r="H389" s="424"/>
      <c r="I389" s="516"/>
      <c r="J389" s="516"/>
      <c r="K389" s="380"/>
      <c r="L389"/>
    </row>
    <row r="390" spans="2:12" ht="13.5" thickTop="1" x14ac:dyDescent="0.25">
      <c r="B390" s="381"/>
      <c r="C390" s="381"/>
      <c r="D390" s="381"/>
      <c r="E390" s="381"/>
      <c r="F390" s="381"/>
      <c r="G390" s="381"/>
      <c r="H390" s="381"/>
      <c r="I390" s="381"/>
      <c r="J390" s="381"/>
      <c r="K390" s="381"/>
      <c r="L390" s="381"/>
    </row>
    <row r="391" spans="2:12" ht="15" x14ac:dyDescent="0.25">
      <c r="B391" s="420" t="s">
        <v>1108</v>
      </c>
      <c r="C391" s="366" t="s">
        <v>0</v>
      </c>
      <c r="D391" s="420" t="s">
        <v>183</v>
      </c>
      <c r="E391" s="420" t="s">
        <v>82</v>
      </c>
      <c r="F391" s="517" t="s">
        <v>1</v>
      </c>
      <c r="G391" s="517"/>
      <c r="H391" s="367" t="s">
        <v>3</v>
      </c>
      <c r="I391" s="366" t="s">
        <v>184</v>
      </c>
      <c r="J391" s="366" t="s">
        <v>1426</v>
      </c>
      <c r="K391" s="366" t="s">
        <v>185</v>
      </c>
      <c r="L391" s="366" t="s">
        <v>4</v>
      </c>
    </row>
    <row r="392" spans="2:12" ht="25.5" x14ac:dyDescent="0.25">
      <c r="B392" s="421" t="s">
        <v>7</v>
      </c>
      <c r="C392" s="368" t="s">
        <v>891</v>
      </c>
      <c r="D392" s="421" t="s">
        <v>212</v>
      </c>
      <c r="E392" s="421" t="s">
        <v>892</v>
      </c>
      <c r="F392" s="518" t="s">
        <v>1279</v>
      </c>
      <c r="G392" s="518"/>
      <c r="H392" s="369" t="s">
        <v>22</v>
      </c>
      <c r="I392" s="370">
        <v>1</v>
      </c>
      <c r="J392" s="371"/>
      <c r="K392" s="371">
        <v>73.61</v>
      </c>
      <c r="L392" s="371">
        <v>115.38</v>
      </c>
    </row>
    <row r="393" spans="2:12" ht="38.25" x14ac:dyDescent="0.25">
      <c r="B393" s="422" t="s">
        <v>187</v>
      </c>
      <c r="C393" s="372" t="s">
        <v>218</v>
      </c>
      <c r="D393" s="422" t="s">
        <v>31</v>
      </c>
      <c r="E393" s="422" t="s">
        <v>219</v>
      </c>
      <c r="F393" s="519" t="s">
        <v>186</v>
      </c>
      <c r="G393" s="519"/>
      <c r="H393" s="373" t="s">
        <v>32</v>
      </c>
      <c r="I393" s="374">
        <v>0.41199999999999998</v>
      </c>
      <c r="J393" s="374"/>
      <c r="K393" s="375">
        <v>22.58</v>
      </c>
      <c r="L393" s="375">
        <v>20.440000000000001</v>
      </c>
    </row>
    <row r="394" spans="2:12" ht="38.25" x14ac:dyDescent="0.25">
      <c r="B394" s="422" t="s">
        <v>187</v>
      </c>
      <c r="C394" s="372" t="s">
        <v>216</v>
      </c>
      <c r="D394" s="422" t="s">
        <v>31</v>
      </c>
      <c r="E394" s="422" t="s">
        <v>217</v>
      </c>
      <c r="F394" s="519" t="s">
        <v>186</v>
      </c>
      <c r="G394" s="519"/>
      <c r="H394" s="373" t="s">
        <v>32</v>
      </c>
      <c r="I394" s="374">
        <v>0.41199999999999998</v>
      </c>
      <c r="J394" s="374"/>
      <c r="K394" s="375">
        <v>18.48</v>
      </c>
      <c r="L394" s="375">
        <v>25.49</v>
      </c>
    </row>
    <row r="395" spans="2:12" x14ac:dyDescent="0.25">
      <c r="B395" s="423" t="s">
        <v>188</v>
      </c>
      <c r="C395" s="376" t="s">
        <v>1109</v>
      </c>
      <c r="D395" s="423" t="s">
        <v>212</v>
      </c>
      <c r="E395" s="423" t="s">
        <v>1110</v>
      </c>
      <c r="F395" s="515" t="s">
        <v>198</v>
      </c>
      <c r="G395" s="515"/>
      <c r="H395" s="377" t="s">
        <v>22</v>
      </c>
      <c r="I395" s="378">
        <v>1</v>
      </c>
      <c r="J395" s="378"/>
      <c r="K395" s="379">
        <v>56.7</v>
      </c>
      <c r="L395" s="379">
        <v>69.45</v>
      </c>
    </row>
    <row r="396" spans="2:12" ht="15" x14ac:dyDescent="0.25">
      <c r="B396" s="424"/>
      <c r="C396" s="424"/>
      <c r="D396" s="424"/>
      <c r="E396" s="424"/>
      <c r="F396" s="424"/>
      <c r="G396" s="380"/>
      <c r="H396" s="424"/>
      <c r="I396" s="380"/>
      <c r="J396" s="424"/>
      <c r="K396" s="380"/>
      <c r="L396"/>
    </row>
    <row r="397" spans="2:12" ht="15.75" thickBot="1" x14ac:dyDescent="0.3">
      <c r="B397" s="424"/>
      <c r="C397" s="424"/>
      <c r="D397" s="424"/>
      <c r="E397" s="424"/>
      <c r="F397" s="424"/>
      <c r="G397" s="380"/>
      <c r="H397" s="424"/>
      <c r="I397" s="516"/>
      <c r="J397" s="516"/>
      <c r="K397" s="380"/>
      <c r="L397"/>
    </row>
    <row r="398" spans="2:12" ht="13.5" thickTop="1" x14ac:dyDescent="0.25">
      <c r="B398" s="381"/>
      <c r="C398" s="381"/>
      <c r="D398" s="381"/>
      <c r="E398" s="381"/>
      <c r="F398" s="381"/>
      <c r="G398" s="381"/>
      <c r="H398" s="381"/>
      <c r="I398" s="381"/>
      <c r="J398" s="381"/>
      <c r="K398" s="381"/>
      <c r="L398" s="381"/>
    </row>
    <row r="399" spans="2:12" ht="15" x14ac:dyDescent="0.25">
      <c r="B399" s="420" t="s">
        <v>1624</v>
      </c>
      <c r="C399" s="366" t="s">
        <v>0</v>
      </c>
      <c r="D399" s="420" t="s">
        <v>183</v>
      </c>
      <c r="E399" s="420" t="s">
        <v>82</v>
      </c>
      <c r="F399" s="517" t="s">
        <v>1</v>
      </c>
      <c r="G399" s="517"/>
      <c r="H399" s="367" t="s">
        <v>3</v>
      </c>
      <c r="I399" s="366" t="s">
        <v>184</v>
      </c>
      <c r="J399" s="366" t="s">
        <v>1426</v>
      </c>
      <c r="K399" s="366" t="s">
        <v>185</v>
      </c>
      <c r="L399" s="366" t="s">
        <v>4</v>
      </c>
    </row>
    <row r="400" spans="2:12" ht="25.5" customHeight="1" x14ac:dyDescent="0.25">
      <c r="B400" s="421" t="s">
        <v>7</v>
      </c>
      <c r="C400" s="368" t="s">
        <v>742</v>
      </c>
      <c r="D400" s="421" t="s">
        <v>31</v>
      </c>
      <c r="E400" s="421" t="s">
        <v>743</v>
      </c>
      <c r="F400" s="518" t="s">
        <v>215</v>
      </c>
      <c r="G400" s="518"/>
      <c r="H400" s="369" t="s">
        <v>22</v>
      </c>
      <c r="I400" s="370">
        <v>1</v>
      </c>
      <c r="J400" s="371"/>
      <c r="K400" s="371">
        <v>83.8</v>
      </c>
      <c r="L400" s="371">
        <v>83.8</v>
      </c>
    </row>
    <row r="401" spans="2:12" ht="38.25" customHeight="1" x14ac:dyDescent="0.25">
      <c r="B401" s="422" t="s">
        <v>187</v>
      </c>
      <c r="C401" s="372" t="s">
        <v>218</v>
      </c>
      <c r="D401" s="422" t="s">
        <v>31</v>
      </c>
      <c r="E401" s="422" t="s">
        <v>219</v>
      </c>
      <c r="F401" s="519" t="s">
        <v>186</v>
      </c>
      <c r="G401" s="519"/>
      <c r="H401" s="373" t="s">
        <v>32</v>
      </c>
      <c r="I401" s="374">
        <v>0.27339999999999998</v>
      </c>
      <c r="J401" s="374"/>
      <c r="K401" s="375">
        <v>22.58</v>
      </c>
      <c r="L401" s="375">
        <v>6.17</v>
      </c>
    </row>
    <row r="402" spans="2:12" ht="38.25" customHeight="1" x14ac:dyDescent="0.25">
      <c r="B402" s="422" t="s">
        <v>187</v>
      </c>
      <c r="C402" s="372" t="s">
        <v>216</v>
      </c>
      <c r="D402" s="422" t="s">
        <v>31</v>
      </c>
      <c r="E402" s="422" t="s">
        <v>217</v>
      </c>
      <c r="F402" s="519" t="s">
        <v>186</v>
      </c>
      <c r="G402" s="519"/>
      <c r="H402" s="373" t="s">
        <v>32</v>
      </c>
      <c r="I402" s="374">
        <v>0.27339999999999998</v>
      </c>
      <c r="J402" s="374"/>
      <c r="K402" s="375">
        <v>18.48</v>
      </c>
      <c r="L402" s="375">
        <v>5.05</v>
      </c>
    </row>
    <row r="403" spans="2:12" ht="12.75" customHeight="1" x14ac:dyDescent="0.25">
      <c r="B403" s="423" t="s">
        <v>188</v>
      </c>
      <c r="C403" s="376" t="s">
        <v>266</v>
      </c>
      <c r="D403" s="423" t="s">
        <v>31</v>
      </c>
      <c r="E403" s="423" t="s">
        <v>267</v>
      </c>
      <c r="F403" s="515" t="s">
        <v>198</v>
      </c>
      <c r="G403" s="515"/>
      <c r="H403" s="377" t="s">
        <v>22</v>
      </c>
      <c r="I403" s="378">
        <v>1</v>
      </c>
      <c r="J403" s="378"/>
      <c r="K403" s="379">
        <v>67.78</v>
      </c>
      <c r="L403" s="379">
        <v>67.78</v>
      </c>
    </row>
    <row r="404" spans="2:12" ht="38.25" x14ac:dyDescent="0.25">
      <c r="B404" s="423" t="s">
        <v>188</v>
      </c>
      <c r="C404" s="376" t="s">
        <v>802</v>
      </c>
      <c r="D404" s="423" t="s">
        <v>31</v>
      </c>
      <c r="E404" s="423" t="s">
        <v>803</v>
      </c>
      <c r="F404" s="515" t="s">
        <v>198</v>
      </c>
      <c r="G404" s="515"/>
      <c r="H404" s="377" t="s">
        <v>22</v>
      </c>
      <c r="I404" s="378">
        <v>3</v>
      </c>
      <c r="J404" s="378"/>
      <c r="K404" s="379">
        <v>1.6</v>
      </c>
      <c r="L404" s="379">
        <v>4.8</v>
      </c>
    </row>
    <row r="405" spans="2:12" ht="15" x14ac:dyDescent="0.25">
      <c r="B405" s="424"/>
      <c r="C405" s="424"/>
      <c r="D405" s="424"/>
      <c r="E405" s="424"/>
      <c r="F405" s="424"/>
      <c r="G405" s="380"/>
      <c r="H405" s="424"/>
      <c r="I405" s="380"/>
      <c r="J405" s="424"/>
      <c r="K405" s="380"/>
      <c r="L405"/>
    </row>
    <row r="406" spans="2:12" ht="15.75" thickBot="1" x14ac:dyDescent="0.3">
      <c r="B406" s="424"/>
      <c r="C406" s="424"/>
      <c r="D406" s="424"/>
      <c r="E406" s="424"/>
      <c r="F406" s="424"/>
      <c r="G406" s="380"/>
      <c r="H406" s="424"/>
      <c r="I406" s="516"/>
      <c r="J406" s="516"/>
      <c r="K406" s="380"/>
      <c r="L406"/>
    </row>
    <row r="407" spans="2:12" ht="13.5" thickTop="1" x14ac:dyDescent="0.25">
      <c r="B407" s="381"/>
      <c r="C407" s="381"/>
      <c r="D407" s="381"/>
      <c r="E407" s="381"/>
      <c r="F407" s="381"/>
      <c r="G407" s="381"/>
      <c r="H407" s="381"/>
      <c r="I407" s="381"/>
      <c r="J407" s="381"/>
      <c r="K407" s="381"/>
      <c r="L407" s="381"/>
    </row>
    <row r="408" spans="2:12" ht="15" x14ac:dyDescent="0.25">
      <c r="B408" s="420" t="s">
        <v>1111</v>
      </c>
      <c r="C408" s="366" t="s">
        <v>0</v>
      </c>
      <c r="D408" s="420" t="s">
        <v>183</v>
      </c>
      <c r="E408" s="420" t="s">
        <v>82</v>
      </c>
      <c r="F408" s="517" t="s">
        <v>1</v>
      </c>
      <c r="G408" s="517"/>
      <c r="H408" s="367" t="s">
        <v>3</v>
      </c>
      <c r="I408" s="366" t="s">
        <v>184</v>
      </c>
      <c r="J408" s="366" t="s">
        <v>1426</v>
      </c>
      <c r="K408" s="366" t="s">
        <v>185</v>
      </c>
      <c r="L408" s="366" t="s">
        <v>4</v>
      </c>
    </row>
    <row r="409" spans="2:12" ht="25.5" x14ac:dyDescent="0.25">
      <c r="B409" s="421" t="s">
        <v>7</v>
      </c>
      <c r="C409" s="368" t="s">
        <v>893</v>
      </c>
      <c r="D409" s="421" t="s">
        <v>849</v>
      </c>
      <c r="E409" s="421" t="s">
        <v>895</v>
      </c>
      <c r="F409" s="518" t="s">
        <v>135</v>
      </c>
      <c r="G409" s="518"/>
      <c r="H409" s="369" t="s">
        <v>225</v>
      </c>
      <c r="I409" s="370">
        <v>1</v>
      </c>
      <c r="J409" s="371"/>
      <c r="K409" s="371">
        <v>92.62</v>
      </c>
      <c r="L409" s="371">
        <v>92.62</v>
      </c>
    </row>
    <row r="410" spans="2:12" ht="38.25" x14ac:dyDescent="0.25">
      <c r="B410" s="422" t="s">
        <v>187</v>
      </c>
      <c r="C410" s="372" t="s">
        <v>1078</v>
      </c>
      <c r="D410" s="422" t="s">
        <v>849</v>
      </c>
      <c r="E410" s="422" t="s">
        <v>1079</v>
      </c>
      <c r="F410" s="519" t="s">
        <v>135</v>
      </c>
      <c r="G410" s="519"/>
      <c r="H410" s="373" t="s">
        <v>1080</v>
      </c>
      <c r="I410" s="374">
        <v>1</v>
      </c>
      <c r="J410" s="374"/>
      <c r="K410" s="375">
        <v>20.440000000000001</v>
      </c>
      <c r="L410" s="375">
        <v>20.440000000000001</v>
      </c>
    </row>
    <row r="411" spans="2:12" ht="38.25" x14ac:dyDescent="0.25">
      <c r="B411" s="422" t="s">
        <v>187</v>
      </c>
      <c r="C411" s="372" t="s">
        <v>1081</v>
      </c>
      <c r="D411" s="422" t="s">
        <v>849</v>
      </c>
      <c r="E411" s="422" t="s">
        <v>219</v>
      </c>
      <c r="F411" s="519" t="s">
        <v>135</v>
      </c>
      <c r="G411" s="519"/>
      <c r="H411" s="373" t="s">
        <v>1080</v>
      </c>
      <c r="I411" s="374">
        <v>1</v>
      </c>
      <c r="J411" s="374"/>
      <c r="K411" s="375">
        <v>25.49</v>
      </c>
      <c r="L411" s="375">
        <v>25.49</v>
      </c>
    </row>
    <row r="412" spans="2:12" ht="25.5" x14ac:dyDescent="0.25">
      <c r="B412" s="423" t="s">
        <v>188</v>
      </c>
      <c r="C412" s="376" t="s">
        <v>1106</v>
      </c>
      <c r="D412" s="423" t="s">
        <v>849</v>
      </c>
      <c r="E412" s="423" t="s">
        <v>1107</v>
      </c>
      <c r="F412" s="515" t="s">
        <v>198</v>
      </c>
      <c r="G412" s="515"/>
      <c r="H412" s="377" t="s">
        <v>225</v>
      </c>
      <c r="I412" s="378">
        <v>1</v>
      </c>
      <c r="J412" s="378"/>
      <c r="K412" s="379">
        <v>46.69</v>
      </c>
      <c r="L412" s="379">
        <v>46.69</v>
      </c>
    </row>
    <row r="413" spans="2:12" ht="15" x14ac:dyDescent="0.25">
      <c r="B413" s="424"/>
      <c r="C413" s="424"/>
      <c r="D413" s="424"/>
      <c r="E413" s="424"/>
      <c r="F413" s="424"/>
      <c r="G413" s="380"/>
      <c r="H413" s="424"/>
      <c r="I413" s="380"/>
      <c r="J413" s="424"/>
      <c r="K413" s="380"/>
      <c r="L413"/>
    </row>
    <row r="414" spans="2:12" ht="15.75" thickBot="1" x14ac:dyDescent="0.3">
      <c r="B414" s="424"/>
      <c r="C414" s="424"/>
      <c r="D414" s="424"/>
      <c r="E414" s="424"/>
      <c r="F414" s="424"/>
      <c r="G414" s="380"/>
      <c r="H414" s="424"/>
      <c r="I414" s="516"/>
      <c r="J414" s="516"/>
      <c r="K414" s="380"/>
      <c r="L414"/>
    </row>
    <row r="415" spans="2:12" ht="13.5" thickTop="1" x14ac:dyDescent="0.25">
      <c r="B415" s="381"/>
      <c r="C415" s="381"/>
      <c r="D415" s="381"/>
      <c r="E415" s="381"/>
      <c r="F415" s="381"/>
      <c r="G415" s="381"/>
      <c r="H415" s="381"/>
      <c r="I415" s="381"/>
      <c r="J415" s="381"/>
      <c r="K415" s="381"/>
      <c r="L415" s="381"/>
    </row>
    <row r="416" spans="2:12" ht="15" x14ac:dyDescent="0.25">
      <c r="B416" s="420" t="s">
        <v>1625</v>
      </c>
      <c r="C416" s="366" t="s">
        <v>0</v>
      </c>
      <c r="D416" s="420" t="s">
        <v>183</v>
      </c>
      <c r="E416" s="420" t="s">
        <v>82</v>
      </c>
      <c r="F416" s="517" t="s">
        <v>1</v>
      </c>
      <c r="G416" s="517"/>
      <c r="H416" s="367" t="s">
        <v>3</v>
      </c>
      <c r="I416" s="366" t="s">
        <v>184</v>
      </c>
      <c r="J416" s="366" t="s">
        <v>1426</v>
      </c>
      <c r="K416" s="366" t="s">
        <v>185</v>
      </c>
      <c r="L416" s="366" t="s">
        <v>4</v>
      </c>
    </row>
    <row r="417" spans="2:12" ht="25.5" customHeight="1" x14ac:dyDescent="0.25">
      <c r="B417" s="421" t="s">
        <v>7</v>
      </c>
      <c r="C417" s="368" t="s">
        <v>894</v>
      </c>
      <c r="D417" s="421" t="s">
        <v>849</v>
      </c>
      <c r="E417" s="421" t="s">
        <v>895</v>
      </c>
      <c r="F417" s="518" t="s">
        <v>135</v>
      </c>
      <c r="G417" s="518"/>
      <c r="H417" s="369" t="s">
        <v>225</v>
      </c>
      <c r="I417" s="370">
        <v>1</v>
      </c>
      <c r="J417" s="371"/>
      <c r="K417" s="371">
        <v>92.62</v>
      </c>
      <c r="L417" s="371">
        <v>92.62</v>
      </c>
    </row>
    <row r="418" spans="2:12" ht="38.25" customHeight="1" x14ac:dyDescent="0.25">
      <c r="B418" s="422" t="s">
        <v>187</v>
      </c>
      <c r="C418" s="372" t="s">
        <v>1078</v>
      </c>
      <c r="D418" s="422" t="s">
        <v>849</v>
      </c>
      <c r="E418" s="422" t="s">
        <v>1079</v>
      </c>
      <c r="F418" s="519" t="s">
        <v>135</v>
      </c>
      <c r="G418" s="519"/>
      <c r="H418" s="373" t="s">
        <v>1080</v>
      </c>
      <c r="I418" s="374">
        <v>1</v>
      </c>
      <c r="J418" s="374"/>
      <c r="K418" s="375">
        <v>20.440000000000001</v>
      </c>
      <c r="L418" s="375">
        <v>20.440000000000001</v>
      </c>
    </row>
    <row r="419" spans="2:12" ht="38.25" customHeight="1" x14ac:dyDescent="0.25">
      <c r="B419" s="422" t="s">
        <v>187</v>
      </c>
      <c r="C419" s="372" t="s">
        <v>1081</v>
      </c>
      <c r="D419" s="422" t="s">
        <v>849</v>
      </c>
      <c r="E419" s="422" t="s">
        <v>219</v>
      </c>
      <c r="F419" s="519" t="s">
        <v>135</v>
      </c>
      <c r="G419" s="519"/>
      <c r="H419" s="373" t="s">
        <v>1080</v>
      </c>
      <c r="I419" s="374">
        <v>1</v>
      </c>
      <c r="J419" s="374"/>
      <c r="K419" s="375">
        <v>25.49</v>
      </c>
      <c r="L419" s="375">
        <v>25.49</v>
      </c>
    </row>
    <row r="420" spans="2:12" ht="25.5" x14ac:dyDescent="0.25">
      <c r="B420" s="423" t="s">
        <v>188</v>
      </c>
      <c r="C420" s="376" t="s">
        <v>1106</v>
      </c>
      <c r="D420" s="423" t="s">
        <v>849</v>
      </c>
      <c r="E420" s="423" t="s">
        <v>1107</v>
      </c>
      <c r="F420" s="515" t="s">
        <v>198</v>
      </c>
      <c r="G420" s="515"/>
      <c r="H420" s="377" t="s">
        <v>225</v>
      </c>
      <c r="I420" s="378">
        <v>1</v>
      </c>
      <c r="J420" s="378"/>
      <c r="K420" s="379">
        <v>46.69</v>
      </c>
      <c r="L420" s="379">
        <v>46.69</v>
      </c>
    </row>
    <row r="421" spans="2:12" ht="15" x14ac:dyDescent="0.25">
      <c r="B421" s="424"/>
      <c r="C421" s="424"/>
      <c r="D421" s="424"/>
      <c r="E421" s="424"/>
      <c r="F421" s="424"/>
      <c r="G421" s="380"/>
      <c r="H421" s="424"/>
      <c r="I421" s="380"/>
      <c r="J421" s="424"/>
      <c r="K421" s="380"/>
      <c r="L421"/>
    </row>
    <row r="422" spans="2:12" ht="15.75" thickBot="1" x14ac:dyDescent="0.3">
      <c r="B422" s="424"/>
      <c r="C422" s="424"/>
      <c r="D422" s="424"/>
      <c r="E422" s="424"/>
      <c r="F422" s="424"/>
      <c r="G422" s="380"/>
      <c r="H422" s="424"/>
      <c r="I422" s="516"/>
      <c r="J422" s="516"/>
      <c r="K422" s="380"/>
      <c r="L422"/>
    </row>
    <row r="423" spans="2:12" ht="13.5" thickTop="1" x14ac:dyDescent="0.25">
      <c r="B423" s="381"/>
      <c r="C423" s="381"/>
      <c r="D423" s="381"/>
      <c r="E423" s="381"/>
      <c r="F423" s="381"/>
      <c r="G423" s="381"/>
      <c r="H423" s="381"/>
      <c r="I423" s="381"/>
      <c r="J423" s="381"/>
      <c r="K423" s="381"/>
      <c r="L423" s="381"/>
    </row>
    <row r="424" spans="2:12" ht="15" x14ac:dyDescent="0.25">
      <c r="B424" s="420" t="s">
        <v>1628</v>
      </c>
      <c r="C424" s="366" t="s">
        <v>0</v>
      </c>
      <c r="D424" s="420" t="s">
        <v>183</v>
      </c>
      <c r="E424" s="420" t="s">
        <v>82</v>
      </c>
      <c r="F424" s="517" t="s">
        <v>1</v>
      </c>
      <c r="G424" s="517"/>
      <c r="H424" s="367" t="s">
        <v>3</v>
      </c>
      <c r="I424" s="366" t="s">
        <v>184</v>
      </c>
      <c r="J424" s="366" t="s">
        <v>1426</v>
      </c>
      <c r="K424" s="366" t="s">
        <v>185</v>
      </c>
      <c r="L424" s="366" t="s">
        <v>4</v>
      </c>
    </row>
    <row r="425" spans="2:12" ht="38.25" x14ac:dyDescent="0.25">
      <c r="B425" s="421" t="s">
        <v>7</v>
      </c>
      <c r="C425" s="368" t="s">
        <v>898</v>
      </c>
      <c r="D425" s="421" t="s">
        <v>264</v>
      </c>
      <c r="E425" s="421" t="s">
        <v>899</v>
      </c>
      <c r="F425" s="518">
        <v>37.130000000000003</v>
      </c>
      <c r="G425" s="518"/>
      <c r="H425" s="369" t="s">
        <v>22</v>
      </c>
      <c r="I425" s="370">
        <v>1</v>
      </c>
      <c r="J425" s="371"/>
      <c r="K425" s="371">
        <v>29.9</v>
      </c>
      <c r="L425" s="371">
        <v>29.9</v>
      </c>
    </row>
    <row r="426" spans="2:12" ht="38.25" x14ac:dyDescent="0.25">
      <c r="B426" s="423" t="s">
        <v>188</v>
      </c>
      <c r="C426" s="376" t="s">
        <v>1115</v>
      </c>
      <c r="D426" s="423" t="s">
        <v>264</v>
      </c>
      <c r="E426" s="423" t="s">
        <v>1116</v>
      </c>
      <c r="F426" s="515" t="s">
        <v>189</v>
      </c>
      <c r="G426" s="515"/>
      <c r="H426" s="377" t="s">
        <v>32</v>
      </c>
      <c r="I426" s="378">
        <v>0.3</v>
      </c>
      <c r="J426" s="378"/>
      <c r="K426" s="379">
        <v>25.22</v>
      </c>
      <c r="L426" s="379">
        <v>7.56</v>
      </c>
    </row>
    <row r="427" spans="2:12" ht="38.25" x14ac:dyDescent="0.25">
      <c r="B427" s="423" t="s">
        <v>188</v>
      </c>
      <c r="C427" s="376" t="s">
        <v>1117</v>
      </c>
      <c r="D427" s="423" t="s">
        <v>264</v>
      </c>
      <c r="E427" s="423" t="s">
        <v>1118</v>
      </c>
      <c r="F427" s="515" t="s">
        <v>189</v>
      </c>
      <c r="G427" s="515"/>
      <c r="H427" s="377" t="s">
        <v>32</v>
      </c>
      <c r="I427" s="378">
        <v>0.3</v>
      </c>
      <c r="J427" s="378"/>
      <c r="K427" s="379">
        <v>16.739999999999998</v>
      </c>
      <c r="L427" s="379">
        <v>5.0199999999999996</v>
      </c>
    </row>
    <row r="428" spans="2:12" ht="38.25" x14ac:dyDescent="0.25">
      <c r="B428" s="423" t="s">
        <v>188</v>
      </c>
      <c r="C428" s="376" t="s">
        <v>1626</v>
      </c>
      <c r="D428" s="423" t="s">
        <v>264</v>
      </c>
      <c r="E428" s="423" t="s">
        <v>1627</v>
      </c>
      <c r="F428" s="515" t="s">
        <v>198</v>
      </c>
      <c r="G428" s="515"/>
      <c r="H428" s="377" t="s">
        <v>22</v>
      </c>
      <c r="I428" s="378">
        <v>1</v>
      </c>
      <c r="J428" s="378"/>
      <c r="K428" s="379">
        <v>17.32</v>
      </c>
      <c r="L428" s="379">
        <v>17.32</v>
      </c>
    </row>
    <row r="429" spans="2:12" ht="15" x14ac:dyDescent="0.25">
      <c r="B429" s="424"/>
      <c r="C429" s="424"/>
      <c r="D429" s="424"/>
      <c r="E429" s="424"/>
      <c r="F429" s="424"/>
      <c r="G429" s="380"/>
      <c r="H429" s="424"/>
      <c r="I429" s="380"/>
      <c r="J429" s="424"/>
      <c r="K429" s="380"/>
      <c r="L429"/>
    </row>
    <row r="430" spans="2:12" ht="15.75" thickBot="1" x14ac:dyDescent="0.3">
      <c r="B430" s="424"/>
      <c r="C430" s="424"/>
      <c r="D430" s="424"/>
      <c r="E430" s="424"/>
      <c r="F430" s="424"/>
      <c r="G430" s="380"/>
      <c r="H430" s="424"/>
      <c r="I430" s="516"/>
      <c r="J430" s="516"/>
      <c r="K430" s="380"/>
      <c r="L430"/>
    </row>
    <row r="431" spans="2:12" ht="13.5" thickTop="1" x14ac:dyDescent="0.25">
      <c r="B431" s="381"/>
      <c r="C431" s="381"/>
      <c r="D431" s="381"/>
      <c r="E431" s="381"/>
      <c r="F431" s="381"/>
      <c r="G431" s="381"/>
      <c r="H431" s="381"/>
      <c r="I431" s="381"/>
      <c r="J431" s="381"/>
      <c r="K431" s="381"/>
      <c r="L431" s="381"/>
    </row>
    <row r="432" spans="2:12" ht="15" x14ac:dyDescent="0.25">
      <c r="B432" s="420" t="s">
        <v>1633</v>
      </c>
      <c r="C432" s="366" t="s">
        <v>0</v>
      </c>
      <c r="D432" s="420" t="s">
        <v>183</v>
      </c>
      <c r="E432" s="420" t="s">
        <v>82</v>
      </c>
      <c r="F432" s="517" t="s">
        <v>1</v>
      </c>
      <c r="G432" s="517"/>
      <c r="H432" s="367" t="s">
        <v>3</v>
      </c>
      <c r="I432" s="366" t="s">
        <v>184</v>
      </c>
      <c r="J432" s="366" t="s">
        <v>1426</v>
      </c>
      <c r="K432" s="366" t="s">
        <v>185</v>
      </c>
      <c r="L432" s="366" t="s">
        <v>4</v>
      </c>
    </row>
    <row r="433" spans="2:12" ht="25.5" x14ac:dyDescent="0.25">
      <c r="B433" s="421" t="s">
        <v>7</v>
      </c>
      <c r="C433" s="368" t="s">
        <v>900</v>
      </c>
      <c r="D433" s="421" t="s">
        <v>124</v>
      </c>
      <c r="E433" s="421" t="s">
        <v>901</v>
      </c>
      <c r="F433" s="518" t="s">
        <v>215</v>
      </c>
      <c r="G433" s="518"/>
      <c r="H433" s="369" t="s">
        <v>22</v>
      </c>
      <c r="I433" s="370">
        <v>1</v>
      </c>
      <c r="J433" s="371"/>
      <c r="K433" s="371">
        <v>153.54</v>
      </c>
      <c r="L433" s="371">
        <f>SUM(L434:L437)</f>
        <v>153.54000000000002</v>
      </c>
    </row>
    <row r="434" spans="2:12" ht="38.25" x14ac:dyDescent="0.25">
      <c r="B434" s="422" t="s">
        <v>187</v>
      </c>
      <c r="C434" s="372" t="s">
        <v>216</v>
      </c>
      <c r="D434" s="422" t="s">
        <v>31</v>
      </c>
      <c r="E434" s="422" t="s">
        <v>217</v>
      </c>
      <c r="F434" s="519" t="s">
        <v>186</v>
      </c>
      <c r="G434" s="519"/>
      <c r="H434" s="373" t="s">
        <v>32</v>
      </c>
      <c r="I434" s="374">
        <v>7.0000000000000007E-2</v>
      </c>
      <c r="J434" s="374"/>
      <c r="K434" s="375">
        <v>18.48</v>
      </c>
      <c r="L434" s="375">
        <f>TRUNC(K434*I434,2)</f>
        <v>1.29</v>
      </c>
    </row>
    <row r="435" spans="2:12" ht="38.25" x14ac:dyDescent="0.25">
      <c r="B435" s="422" t="s">
        <v>187</v>
      </c>
      <c r="C435" s="372" t="s">
        <v>218</v>
      </c>
      <c r="D435" s="422" t="s">
        <v>31</v>
      </c>
      <c r="E435" s="422" t="s">
        <v>219</v>
      </c>
      <c r="F435" s="519" t="s">
        <v>186</v>
      </c>
      <c r="G435" s="519"/>
      <c r="H435" s="373" t="s">
        <v>32</v>
      </c>
      <c r="I435" s="374">
        <v>7.0000000000000007E-2</v>
      </c>
      <c r="J435" s="374"/>
      <c r="K435" s="375">
        <v>22.58</v>
      </c>
      <c r="L435" s="375">
        <f t="shared" ref="L435:L437" si="0">TRUNC(K435*I435,2)</f>
        <v>1.58</v>
      </c>
    </row>
    <row r="436" spans="2:12" ht="38.25" x14ac:dyDescent="0.25">
      <c r="B436" s="423" t="s">
        <v>188</v>
      </c>
      <c r="C436" s="376" t="s">
        <v>1629</v>
      </c>
      <c r="D436" s="423" t="s">
        <v>31</v>
      </c>
      <c r="E436" s="423" t="s">
        <v>1630</v>
      </c>
      <c r="F436" s="515" t="s">
        <v>198</v>
      </c>
      <c r="G436" s="515"/>
      <c r="H436" s="377" t="s">
        <v>22</v>
      </c>
      <c r="I436" s="378">
        <v>2</v>
      </c>
      <c r="J436" s="378"/>
      <c r="K436" s="379">
        <v>1.03</v>
      </c>
      <c r="L436" s="379">
        <f t="shared" si="0"/>
        <v>2.06</v>
      </c>
    </row>
    <row r="437" spans="2:12" ht="38.25" x14ac:dyDescent="0.25">
      <c r="B437" s="423" t="s">
        <v>188</v>
      </c>
      <c r="C437" s="376" t="s">
        <v>1631</v>
      </c>
      <c r="D437" s="423" t="s">
        <v>31</v>
      </c>
      <c r="E437" s="423" t="s">
        <v>1632</v>
      </c>
      <c r="F437" s="515" t="s">
        <v>198</v>
      </c>
      <c r="G437" s="515"/>
      <c r="H437" s="377" t="s">
        <v>22</v>
      </c>
      <c r="I437" s="378">
        <v>1</v>
      </c>
      <c r="J437" s="378"/>
      <c r="K437" s="379">
        <v>148.61000000000001</v>
      </c>
      <c r="L437" s="379">
        <f t="shared" si="0"/>
        <v>148.61000000000001</v>
      </c>
    </row>
    <row r="438" spans="2:12" ht="15" x14ac:dyDescent="0.25">
      <c r="B438" s="424"/>
      <c r="C438" s="424"/>
      <c r="D438" s="424"/>
      <c r="E438" s="424"/>
      <c r="F438" s="424"/>
      <c r="G438" s="380"/>
      <c r="H438" s="424"/>
      <c r="I438" s="380"/>
      <c r="J438" s="424"/>
      <c r="K438" s="380"/>
      <c r="L438"/>
    </row>
    <row r="439" spans="2:12" ht="15.75" thickBot="1" x14ac:dyDescent="0.3">
      <c r="B439" s="424"/>
      <c r="C439" s="424"/>
      <c r="D439" s="424"/>
      <c r="E439" s="424"/>
      <c r="F439" s="424"/>
      <c r="G439" s="380"/>
      <c r="H439" s="424"/>
      <c r="I439" s="516"/>
      <c r="J439" s="516"/>
      <c r="K439" s="380"/>
      <c r="L439"/>
    </row>
    <row r="440" spans="2:12" ht="13.5" thickTop="1" x14ac:dyDescent="0.25">
      <c r="B440" s="381"/>
      <c r="C440" s="381"/>
      <c r="D440" s="381"/>
      <c r="E440" s="381"/>
      <c r="F440" s="381"/>
      <c r="G440" s="381"/>
      <c r="H440" s="381"/>
      <c r="I440" s="381"/>
      <c r="J440" s="381"/>
      <c r="K440" s="381"/>
      <c r="L440" s="381"/>
    </row>
    <row r="441" spans="2:12" ht="15" x14ac:dyDescent="0.25">
      <c r="B441" s="420" t="s">
        <v>1636</v>
      </c>
      <c r="C441" s="366" t="s">
        <v>0</v>
      </c>
      <c r="D441" s="420" t="s">
        <v>183</v>
      </c>
      <c r="E441" s="420" t="s">
        <v>82</v>
      </c>
      <c r="F441" s="517" t="s">
        <v>1</v>
      </c>
      <c r="G441" s="517"/>
      <c r="H441" s="367" t="s">
        <v>3</v>
      </c>
      <c r="I441" s="366" t="s">
        <v>184</v>
      </c>
      <c r="J441" s="366" t="s">
        <v>1426</v>
      </c>
      <c r="K441" s="366" t="s">
        <v>185</v>
      </c>
      <c r="L441" s="366" t="s">
        <v>4</v>
      </c>
    </row>
    <row r="442" spans="2:12" ht="25.5" customHeight="1" x14ac:dyDescent="0.25">
      <c r="B442" s="421" t="s">
        <v>7</v>
      </c>
      <c r="C442" s="368" t="s">
        <v>902</v>
      </c>
      <c r="D442" s="421" t="s">
        <v>874</v>
      </c>
      <c r="E442" s="421" t="s">
        <v>903</v>
      </c>
      <c r="F442" s="518">
        <v>7</v>
      </c>
      <c r="G442" s="518"/>
      <c r="H442" s="369" t="s">
        <v>824</v>
      </c>
      <c r="I442" s="370">
        <v>1</v>
      </c>
      <c r="J442" s="371"/>
      <c r="K442" s="371">
        <v>147.85</v>
      </c>
      <c r="L442" s="371">
        <f>SUM(L443:L445)</f>
        <v>147.85</v>
      </c>
    </row>
    <row r="443" spans="2:12" ht="25.5" x14ac:dyDescent="0.25">
      <c r="B443" s="423" t="s">
        <v>188</v>
      </c>
      <c r="C443" s="376" t="s">
        <v>1634</v>
      </c>
      <c r="D443" s="423" t="s">
        <v>874</v>
      </c>
      <c r="E443" s="423" t="s">
        <v>1635</v>
      </c>
      <c r="F443" s="515" t="s">
        <v>198</v>
      </c>
      <c r="G443" s="515"/>
      <c r="H443" s="377" t="s">
        <v>225</v>
      </c>
      <c r="I443" s="378">
        <v>1</v>
      </c>
      <c r="J443" s="378"/>
      <c r="K443" s="379">
        <v>117.03</v>
      </c>
      <c r="L443" s="379">
        <f t="shared" ref="L443:L445" si="1">TRUNC(K443*I443,2)</f>
        <v>117.03</v>
      </c>
    </row>
    <row r="444" spans="2:12" ht="25.5" x14ac:dyDescent="0.25">
      <c r="B444" s="423" t="s">
        <v>188</v>
      </c>
      <c r="C444" s="376" t="s">
        <v>1101</v>
      </c>
      <c r="D444" s="423" t="s">
        <v>874</v>
      </c>
      <c r="E444" s="423" t="s">
        <v>1102</v>
      </c>
      <c r="F444" s="515" t="s">
        <v>189</v>
      </c>
      <c r="G444" s="515"/>
      <c r="H444" s="377" t="s">
        <v>1099</v>
      </c>
      <c r="I444" s="378">
        <v>1</v>
      </c>
      <c r="J444" s="378"/>
      <c r="K444" s="379">
        <v>12.31</v>
      </c>
      <c r="L444" s="379">
        <f t="shared" si="1"/>
        <v>12.31</v>
      </c>
    </row>
    <row r="445" spans="2:12" ht="12.75" customHeight="1" x14ac:dyDescent="0.25">
      <c r="B445" s="423" t="s">
        <v>188</v>
      </c>
      <c r="C445" s="376" t="s">
        <v>1103</v>
      </c>
      <c r="D445" s="423" t="s">
        <v>874</v>
      </c>
      <c r="E445" s="423" t="s">
        <v>223</v>
      </c>
      <c r="F445" s="515" t="s">
        <v>189</v>
      </c>
      <c r="G445" s="515"/>
      <c r="H445" s="377" t="s">
        <v>1099</v>
      </c>
      <c r="I445" s="378">
        <v>1</v>
      </c>
      <c r="J445" s="378"/>
      <c r="K445" s="379">
        <v>18.510000000000002</v>
      </c>
      <c r="L445" s="379">
        <f t="shared" si="1"/>
        <v>18.510000000000002</v>
      </c>
    </row>
    <row r="446" spans="2:12" x14ac:dyDescent="0.25">
      <c r="B446" s="424"/>
      <c r="C446" s="424"/>
      <c r="D446" s="424"/>
      <c r="E446" s="424"/>
      <c r="F446" s="424"/>
      <c r="G446" s="380"/>
      <c r="H446" s="424"/>
      <c r="I446" s="380"/>
      <c r="J446" s="424"/>
      <c r="K446" s="380"/>
      <c r="L446" s="456"/>
    </row>
    <row r="447" spans="2:12" ht="13.5" thickBot="1" x14ac:dyDescent="0.3">
      <c r="B447" s="424"/>
      <c r="C447" s="424"/>
      <c r="D447" s="424"/>
      <c r="E447" s="424"/>
      <c r="F447" s="424"/>
      <c r="G447" s="380"/>
      <c r="H447" s="424"/>
      <c r="I447" s="516"/>
      <c r="J447" s="516"/>
      <c r="K447" s="380"/>
      <c r="L447" s="456"/>
    </row>
    <row r="448" spans="2:12" ht="13.5" thickTop="1" x14ac:dyDescent="0.25">
      <c r="B448" s="381"/>
      <c r="C448" s="381"/>
      <c r="D448" s="381"/>
      <c r="E448" s="381"/>
      <c r="F448" s="381"/>
      <c r="G448" s="381"/>
      <c r="H448" s="381"/>
      <c r="I448" s="381"/>
      <c r="J448" s="381"/>
      <c r="K448" s="381"/>
      <c r="L448" s="381"/>
    </row>
    <row r="449" spans="2:12" ht="15" x14ac:dyDescent="0.25">
      <c r="B449" s="420" t="s">
        <v>904</v>
      </c>
      <c r="C449" s="366" t="s">
        <v>0</v>
      </c>
      <c r="D449" s="420" t="s">
        <v>183</v>
      </c>
      <c r="E449" s="420" t="s">
        <v>82</v>
      </c>
      <c r="F449" s="517" t="s">
        <v>1</v>
      </c>
      <c r="G449" s="517"/>
      <c r="H449" s="367" t="s">
        <v>3</v>
      </c>
      <c r="I449" s="366" t="s">
        <v>184</v>
      </c>
      <c r="J449" s="366" t="s">
        <v>1426</v>
      </c>
      <c r="K449" s="366" t="s">
        <v>185</v>
      </c>
      <c r="L449" s="366" t="s">
        <v>4</v>
      </c>
    </row>
    <row r="450" spans="2:12" ht="38.25" x14ac:dyDescent="0.25">
      <c r="B450" s="421" t="s">
        <v>7</v>
      </c>
      <c r="C450" s="368" t="s">
        <v>915</v>
      </c>
      <c r="D450" s="421" t="s">
        <v>124</v>
      </c>
      <c r="E450" s="421" t="s">
        <v>916</v>
      </c>
      <c r="F450" s="518">
        <v>61</v>
      </c>
      <c r="G450" s="518"/>
      <c r="H450" s="369" t="s">
        <v>35</v>
      </c>
      <c r="I450" s="370">
        <v>1</v>
      </c>
      <c r="J450" s="371"/>
      <c r="K450" s="371">
        <v>52.69</v>
      </c>
      <c r="L450" s="371">
        <v>52.69</v>
      </c>
    </row>
    <row r="451" spans="2:12" ht="38.25" x14ac:dyDescent="0.25">
      <c r="B451" s="422" t="s">
        <v>187</v>
      </c>
      <c r="C451" s="372" t="s">
        <v>218</v>
      </c>
      <c r="D451" s="422" t="s">
        <v>31</v>
      </c>
      <c r="E451" s="422" t="s">
        <v>219</v>
      </c>
      <c r="F451" s="519" t="s">
        <v>186</v>
      </c>
      <c r="G451" s="519"/>
      <c r="H451" s="373" t="s">
        <v>32</v>
      </c>
      <c r="I451" s="374">
        <v>0.49</v>
      </c>
      <c r="J451" s="374"/>
      <c r="K451" s="375">
        <v>22.58</v>
      </c>
      <c r="L451" s="375">
        <v>11.06</v>
      </c>
    </row>
    <row r="452" spans="2:12" ht="38.25" x14ac:dyDescent="0.25">
      <c r="B452" s="422" t="s">
        <v>187</v>
      </c>
      <c r="C452" s="372" t="s">
        <v>216</v>
      </c>
      <c r="D452" s="422" t="s">
        <v>31</v>
      </c>
      <c r="E452" s="422" t="s">
        <v>217</v>
      </c>
      <c r="F452" s="519" t="s">
        <v>186</v>
      </c>
      <c r="G452" s="519"/>
      <c r="H452" s="373" t="s">
        <v>32</v>
      </c>
      <c r="I452" s="374">
        <v>0.49</v>
      </c>
      <c r="J452" s="374"/>
      <c r="K452" s="375">
        <v>18.48</v>
      </c>
      <c r="L452" s="375">
        <v>9.0500000000000007</v>
      </c>
    </row>
    <row r="453" spans="2:12" x14ac:dyDescent="0.25">
      <c r="B453" s="423" t="s">
        <v>188</v>
      </c>
      <c r="C453" s="376" t="s">
        <v>800</v>
      </c>
      <c r="D453" s="423" t="s">
        <v>212</v>
      </c>
      <c r="E453" s="423" t="s">
        <v>801</v>
      </c>
      <c r="F453" s="515" t="s">
        <v>198</v>
      </c>
      <c r="G453" s="515"/>
      <c r="H453" s="377" t="s">
        <v>35</v>
      </c>
      <c r="I453" s="378">
        <v>1.1000000000000001</v>
      </c>
      <c r="J453" s="378"/>
      <c r="K453" s="379">
        <v>18.02</v>
      </c>
      <c r="L453" s="379">
        <v>19.82</v>
      </c>
    </row>
    <row r="454" spans="2:12" ht="25.5" x14ac:dyDescent="0.25">
      <c r="B454" s="423" t="s">
        <v>188</v>
      </c>
      <c r="C454" s="376" t="s">
        <v>1120</v>
      </c>
      <c r="D454" s="423" t="s">
        <v>842</v>
      </c>
      <c r="E454" s="423" t="s">
        <v>1121</v>
      </c>
      <c r="F454" s="515" t="s">
        <v>198</v>
      </c>
      <c r="G454" s="515"/>
      <c r="H454" s="377" t="s">
        <v>35</v>
      </c>
      <c r="I454" s="378">
        <v>1.1000000000000001</v>
      </c>
      <c r="J454" s="378"/>
      <c r="K454" s="379">
        <v>11.6</v>
      </c>
      <c r="L454" s="379">
        <v>12.76</v>
      </c>
    </row>
    <row r="455" spans="2:12" ht="15" x14ac:dyDescent="0.25">
      <c r="B455" s="424"/>
      <c r="C455" s="424"/>
      <c r="D455" s="424"/>
      <c r="E455" s="424"/>
      <c r="F455" s="424"/>
      <c r="G455" s="380"/>
      <c r="H455" s="424"/>
      <c r="I455" s="380"/>
      <c r="J455" s="424"/>
      <c r="K455" s="380"/>
      <c r="L455"/>
    </row>
    <row r="456" spans="2:12" ht="15.75" thickBot="1" x14ac:dyDescent="0.3">
      <c r="B456" s="424"/>
      <c r="C456" s="424"/>
      <c r="D456" s="424"/>
      <c r="E456" s="424"/>
      <c r="F456" s="424"/>
      <c r="G456" s="380"/>
      <c r="H456" s="424"/>
      <c r="I456" s="516"/>
      <c r="J456" s="516"/>
      <c r="K456" s="380"/>
      <c r="L456"/>
    </row>
    <row r="457" spans="2:12" ht="13.5" thickTop="1" x14ac:dyDescent="0.25">
      <c r="B457" s="381"/>
      <c r="C457" s="381"/>
      <c r="D457" s="381"/>
      <c r="E457" s="381"/>
      <c r="F457" s="381"/>
      <c r="G457" s="381"/>
      <c r="H457" s="381"/>
      <c r="I457" s="381"/>
      <c r="J457" s="381"/>
      <c r="K457" s="381"/>
      <c r="L457" s="381"/>
    </row>
    <row r="458" spans="2:12" ht="15" x14ac:dyDescent="0.25">
      <c r="B458" s="420" t="s">
        <v>905</v>
      </c>
      <c r="C458" s="366" t="s">
        <v>0</v>
      </c>
      <c r="D458" s="420" t="s">
        <v>183</v>
      </c>
      <c r="E458" s="420" t="s">
        <v>82</v>
      </c>
      <c r="F458" s="517" t="s">
        <v>1</v>
      </c>
      <c r="G458" s="517"/>
      <c r="H458" s="367" t="s">
        <v>3</v>
      </c>
      <c r="I458" s="366" t="s">
        <v>184</v>
      </c>
      <c r="J458" s="366" t="s">
        <v>1426</v>
      </c>
      <c r="K458" s="366" t="s">
        <v>185</v>
      </c>
      <c r="L458" s="366" t="s">
        <v>4</v>
      </c>
    </row>
    <row r="459" spans="2:12" ht="25.5" x14ac:dyDescent="0.25">
      <c r="B459" s="421" t="s">
        <v>7</v>
      </c>
      <c r="C459" s="368" t="s">
        <v>738</v>
      </c>
      <c r="D459" s="421" t="s">
        <v>212</v>
      </c>
      <c r="E459" s="421" t="s">
        <v>739</v>
      </c>
      <c r="F459" s="518" t="s">
        <v>1278</v>
      </c>
      <c r="G459" s="518"/>
      <c r="H459" s="369" t="s">
        <v>35</v>
      </c>
      <c r="I459" s="370">
        <v>1</v>
      </c>
      <c r="J459" s="371"/>
      <c r="K459" s="371">
        <v>48.08</v>
      </c>
      <c r="L459" s="371">
        <v>48.08</v>
      </c>
    </row>
    <row r="460" spans="2:12" ht="38.25" x14ac:dyDescent="0.25">
      <c r="B460" s="422" t="s">
        <v>187</v>
      </c>
      <c r="C460" s="372" t="s">
        <v>218</v>
      </c>
      <c r="D460" s="422" t="s">
        <v>31</v>
      </c>
      <c r="E460" s="422" t="s">
        <v>219</v>
      </c>
      <c r="F460" s="519" t="s">
        <v>186</v>
      </c>
      <c r="G460" s="519"/>
      <c r="H460" s="373" t="s">
        <v>32</v>
      </c>
      <c r="I460" s="374">
        <v>0.5</v>
      </c>
      <c r="J460" s="374"/>
      <c r="K460" s="375">
        <v>22.58</v>
      </c>
      <c r="L460" s="375">
        <v>11.29</v>
      </c>
    </row>
    <row r="461" spans="2:12" ht="38.25" x14ac:dyDescent="0.25">
      <c r="B461" s="422" t="s">
        <v>187</v>
      </c>
      <c r="C461" s="372" t="s">
        <v>216</v>
      </c>
      <c r="D461" s="422" t="s">
        <v>31</v>
      </c>
      <c r="E461" s="422" t="s">
        <v>217</v>
      </c>
      <c r="F461" s="519" t="s">
        <v>186</v>
      </c>
      <c r="G461" s="519"/>
      <c r="H461" s="373" t="s">
        <v>32</v>
      </c>
      <c r="I461" s="374">
        <v>0.5</v>
      </c>
      <c r="J461" s="374"/>
      <c r="K461" s="375">
        <v>18.48</v>
      </c>
      <c r="L461" s="375">
        <v>9.24</v>
      </c>
    </row>
    <row r="462" spans="2:12" x14ac:dyDescent="0.25">
      <c r="B462" s="423" t="s">
        <v>188</v>
      </c>
      <c r="C462" s="376" t="s">
        <v>1567</v>
      </c>
      <c r="D462" s="423" t="s">
        <v>212</v>
      </c>
      <c r="E462" s="423" t="s">
        <v>1568</v>
      </c>
      <c r="F462" s="515" t="s">
        <v>198</v>
      </c>
      <c r="G462" s="515"/>
      <c r="H462" s="377" t="s">
        <v>35</v>
      </c>
      <c r="I462" s="378">
        <v>1.1000000000000001</v>
      </c>
      <c r="J462" s="378"/>
      <c r="K462" s="379">
        <v>25.05</v>
      </c>
      <c r="L462" s="379">
        <v>27.55</v>
      </c>
    </row>
    <row r="463" spans="2:12" ht="15" x14ac:dyDescent="0.25">
      <c r="B463" s="424"/>
      <c r="C463" s="424"/>
      <c r="D463" s="424"/>
      <c r="E463" s="424"/>
      <c r="F463" s="424"/>
      <c r="G463" s="380"/>
      <c r="H463" s="424"/>
      <c r="I463" s="380"/>
      <c r="J463" s="424"/>
      <c r="K463" s="380"/>
      <c r="L463"/>
    </row>
    <row r="464" spans="2:12" ht="15.75" thickBot="1" x14ac:dyDescent="0.3">
      <c r="B464" s="424"/>
      <c r="C464" s="424"/>
      <c r="D464" s="424"/>
      <c r="E464" s="424"/>
      <c r="F464" s="424"/>
      <c r="G464" s="380"/>
      <c r="H464" s="424"/>
      <c r="I464" s="516"/>
      <c r="J464" s="516"/>
      <c r="K464" s="380"/>
      <c r="L464"/>
    </row>
    <row r="465" spans="2:12" ht="13.5" thickTop="1" x14ac:dyDescent="0.25">
      <c r="B465" s="381"/>
      <c r="C465" s="381"/>
      <c r="D465" s="381"/>
      <c r="E465" s="381"/>
      <c r="F465" s="381"/>
      <c r="G465" s="381"/>
      <c r="H465" s="381"/>
      <c r="I465" s="381"/>
      <c r="J465" s="381"/>
      <c r="K465" s="381"/>
      <c r="L465" s="381"/>
    </row>
    <row r="466" spans="2:12" ht="15" x14ac:dyDescent="0.25">
      <c r="B466" s="420" t="s">
        <v>906</v>
      </c>
      <c r="C466" s="366" t="s">
        <v>0</v>
      </c>
      <c r="D466" s="420" t="s">
        <v>183</v>
      </c>
      <c r="E466" s="420" t="s">
        <v>82</v>
      </c>
      <c r="F466" s="517" t="s">
        <v>1</v>
      </c>
      <c r="G466" s="517"/>
      <c r="H466" s="367" t="s">
        <v>3</v>
      </c>
      <c r="I466" s="366" t="s">
        <v>184</v>
      </c>
      <c r="J466" s="366" t="s">
        <v>1426</v>
      </c>
      <c r="K466" s="366" t="s">
        <v>185</v>
      </c>
      <c r="L466" s="366" t="s">
        <v>4</v>
      </c>
    </row>
    <row r="467" spans="2:12" ht="25.5" x14ac:dyDescent="0.25">
      <c r="B467" s="421" t="s">
        <v>7</v>
      </c>
      <c r="C467" s="368" t="s">
        <v>917</v>
      </c>
      <c r="D467" s="421" t="s">
        <v>212</v>
      </c>
      <c r="E467" s="421" t="s">
        <v>749</v>
      </c>
      <c r="F467" s="518" t="s">
        <v>1280</v>
      </c>
      <c r="G467" s="518"/>
      <c r="H467" s="369" t="s">
        <v>22</v>
      </c>
      <c r="I467" s="370">
        <v>1</v>
      </c>
      <c r="J467" s="371"/>
      <c r="K467" s="371">
        <v>5.0599999999999996</v>
      </c>
      <c r="L467" s="371">
        <v>5.0599999999999996</v>
      </c>
    </row>
    <row r="468" spans="2:12" ht="38.25" x14ac:dyDescent="0.25">
      <c r="B468" s="422" t="s">
        <v>187</v>
      </c>
      <c r="C468" s="372" t="s">
        <v>218</v>
      </c>
      <c r="D468" s="422" t="s">
        <v>31</v>
      </c>
      <c r="E468" s="422" t="s">
        <v>219</v>
      </c>
      <c r="F468" s="519" t="s">
        <v>186</v>
      </c>
      <c r="G468" s="519"/>
      <c r="H468" s="373" t="s">
        <v>32</v>
      </c>
      <c r="I468" s="374">
        <v>2.3E-2</v>
      </c>
      <c r="J468" s="374"/>
      <c r="K468" s="375">
        <v>22.58</v>
      </c>
      <c r="L468" s="375">
        <v>0.51</v>
      </c>
    </row>
    <row r="469" spans="2:12" ht="38.25" x14ac:dyDescent="0.25">
      <c r="B469" s="422" t="s">
        <v>187</v>
      </c>
      <c r="C469" s="372" t="s">
        <v>216</v>
      </c>
      <c r="D469" s="422" t="s">
        <v>31</v>
      </c>
      <c r="E469" s="422" t="s">
        <v>217</v>
      </c>
      <c r="F469" s="519" t="s">
        <v>186</v>
      </c>
      <c r="G469" s="519"/>
      <c r="H469" s="373" t="s">
        <v>32</v>
      </c>
      <c r="I469" s="374">
        <v>2.3E-2</v>
      </c>
      <c r="J469" s="374"/>
      <c r="K469" s="375">
        <v>18.48</v>
      </c>
      <c r="L469" s="375">
        <v>0.42</v>
      </c>
    </row>
    <row r="470" spans="2:12" x14ac:dyDescent="0.25">
      <c r="B470" s="423" t="s">
        <v>188</v>
      </c>
      <c r="C470" s="376" t="s">
        <v>1569</v>
      </c>
      <c r="D470" s="423" t="s">
        <v>212</v>
      </c>
      <c r="E470" s="423" t="s">
        <v>1570</v>
      </c>
      <c r="F470" s="515" t="s">
        <v>198</v>
      </c>
      <c r="G470" s="515"/>
      <c r="H470" s="377" t="s">
        <v>22</v>
      </c>
      <c r="I470" s="378">
        <v>1</v>
      </c>
      <c r="J470" s="378"/>
      <c r="K470" s="379">
        <v>4.13</v>
      </c>
      <c r="L470" s="379">
        <v>4.13</v>
      </c>
    </row>
    <row r="471" spans="2:12" ht="15" x14ac:dyDescent="0.25">
      <c r="B471" s="424"/>
      <c r="C471" s="424"/>
      <c r="D471" s="424"/>
      <c r="E471" s="424"/>
      <c r="F471" s="424"/>
      <c r="G471" s="380"/>
      <c r="H471" s="424"/>
      <c r="I471" s="380"/>
      <c r="J471" s="424"/>
      <c r="K471" s="380"/>
      <c r="L471"/>
    </row>
    <row r="472" spans="2:12" ht="15.75" thickBot="1" x14ac:dyDescent="0.3">
      <c r="B472" s="424"/>
      <c r="C472" s="424"/>
      <c r="D472" s="424"/>
      <c r="E472" s="424"/>
      <c r="F472" s="424"/>
      <c r="G472" s="380"/>
      <c r="H472" s="424"/>
      <c r="I472" s="516"/>
      <c r="J472" s="516"/>
      <c r="K472" s="380"/>
      <c r="L472"/>
    </row>
    <row r="473" spans="2:12" ht="13.5" thickTop="1" x14ac:dyDescent="0.25">
      <c r="B473" s="381"/>
      <c r="C473" s="381"/>
      <c r="D473" s="381"/>
      <c r="E473" s="381"/>
      <c r="F473" s="381"/>
      <c r="G473" s="381"/>
      <c r="H473" s="381"/>
      <c r="I473" s="381"/>
      <c r="J473" s="381"/>
      <c r="K473" s="381"/>
      <c r="L473" s="381"/>
    </row>
    <row r="474" spans="2:12" ht="15" x14ac:dyDescent="0.25">
      <c r="B474" s="420" t="s">
        <v>907</v>
      </c>
      <c r="C474" s="366" t="s">
        <v>0</v>
      </c>
      <c r="D474" s="420" t="s">
        <v>183</v>
      </c>
      <c r="E474" s="420" t="s">
        <v>82</v>
      </c>
      <c r="F474" s="517" t="s">
        <v>1</v>
      </c>
      <c r="G474" s="517"/>
      <c r="H474" s="367" t="s">
        <v>3</v>
      </c>
      <c r="I474" s="366" t="s">
        <v>184</v>
      </c>
      <c r="J474" s="366" t="s">
        <v>1426</v>
      </c>
      <c r="K474" s="366" t="s">
        <v>185</v>
      </c>
      <c r="L474" s="366" t="s">
        <v>4</v>
      </c>
    </row>
    <row r="475" spans="2:12" ht="25.5" x14ac:dyDescent="0.25">
      <c r="B475" s="421" t="s">
        <v>7</v>
      </c>
      <c r="C475" s="368" t="s">
        <v>918</v>
      </c>
      <c r="D475" s="421" t="s">
        <v>124</v>
      </c>
      <c r="E475" s="421" t="s">
        <v>919</v>
      </c>
      <c r="F475" s="518" t="s">
        <v>1122</v>
      </c>
      <c r="G475" s="518"/>
      <c r="H475" s="369" t="s">
        <v>22</v>
      </c>
      <c r="I475" s="370">
        <v>1</v>
      </c>
      <c r="J475" s="371"/>
      <c r="K475" s="371">
        <v>41.96</v>
      </c>
      <c r="L475" s="371">
        <v>41.96</v>
      </c>
    </row>
    <row r="476" spans="2:12" ht="38.25" x14ac:dyDescent="0.25">
      <c r="B476" s="422" t="s">
        <v>187</v>
      </c>
      <c r="C476" s="372" t="s">
        <v>216</v>
      </c>
      <c r="D476" s="422" t="s">
        <v>31</v>
      </c>
      <c r="E476" s="422" t="s">
        <v>217</v>
      </c>
      <c r="F476" s="519" t="s">
        <v>186</v>
      </c>
      <c r="G476" s="519"/>
      <c r="H476" s="373" t="s">
        <v>32</v>
      </c>
      <c r="I476" s="374">
        <v>0.1</v>
      </c>
      <c r="J476" s="374"/>
      <c r="K476" s="375">
        <v>18.48</v>
      </c>
      <c r="L476" s="375">
        <v>1.84</v>
      </c>
    </row>
    <row r="477" spans="2:12" ht="38.25" x14ac:dyDescent="0.25">
      <c r="B477" s="422" t="s">
        <v>187</v>
      </c>
      <c r="C477" s="372" t="s">
        <v>218</v>
      </c>
      <c r="D477" s="422" t="s">
        <v>31</v>
      </c>
      <c r="E477" s="422" t="s">
        <v>219</v>
      </c>
      <c r="F477" s="519" t="s">
        <v>186</v>
      </c>
      <c r="G477" s="519"/>
      <c r="H477" s="373" t="s">
        <v>32</v>
      </c>
      <c r="I477" s="374">
        <v>0.1</v>
      </c>
      <c r="J477" s="374"/>
      <c r="K477" s="375">
        <v>22.58</v>
      </c>
      <c r="L477" s="375">
        <v>2.25</v>
      </c>
    </row>
    <row r="478" spans="2:12" ht="38.25" x14ac:dyDescent="0.25">
      <c r="B478" s="423" t="s">
        <v>188</v>
      </c>
      <c r="C478" s="376" t="s">
        <v>1123</v>
      </c>
      <c r="D478" s="423" t="s">
        <v>31</v>
      </c>
      <c r="E478" s="423" t="s">
        <v>1124</v>
      </c>
      <c r="F478" s="515" t="s">
        <v>198</v>
      </c>
      <c r="G478" s="515"/>
      <c r="H478" s="377" t="s">
        <v>22</v>
      </c>
      <c r="I478" s="378">
        <v>4</v>
      </c>
      <c r="J478" s="378"/>
      <c r="K478" s="379">
        <v>0.16</v>
      </c>
      <c r="L478" s="379">
        <v>0.64</v>
      </c>
    </row>
    <row r="479" spans="2:12" x14ac:dyDescent="0.25">
      <c r="B479" s="423" t="s">
        <v>188</v>
      </c>
      <c r="C479" s="376" t="s">
        <v>1125</v>
      </c>
      <c r="D479" s="423" t="s">
        <v>212</v>
      </c>
      <c r="E479" s="423" t="s">
        <v>1126</v>
      </c>
      <c r="F479" s="515" t="s">
        <v>198</v>
      </c>
      <c r="G479" s="515"/>
      <c r="H479" s="377" t="s">
        <v>22</v>
      </c>
      <c r="I479" s="378">
        <v>4</v>
      </c>
      <c r="J479" s="378"/>
      <c r="K479" s="379">
        <v>1.1399999999999999</v>
      </c>
      <c r="L479" s="379">
        <v>4.5599999999999996</v>
      </c>
    </row>
    <row r="480" spans="2:12" ht="25.5" x14ac:dyDescent="0.25">
      <c r="B480" s="423" t="s">
        <v>188</v>
      </c>
      <c r="C480" s="376" t="s">
        <v>1127</v>
      </c>
      <c r="D480" s="423" t="s">
        <v>874</v>
      </c>
      <c r="E480" s="423" t="s">
        <v>1128</v>
      </c>
      <c r="F480" s="515" t="s">
        <v>198</v>
      </c>
      <c r="G480" s="515"/>
      <c r="H480" s="377" t="s">
        <v>225</v>
      </c>
      <c r="I480" s="378">
        <v>1</v>
      </c>
      <c r="J480" s="378"/>
      <c r="K480" s="379">
        <v>2.56</v>
      </c>
      <c r="L480" s="379">
        <v>2.56</v>
      </c>
    </row>
    <row r="481" spans="2:12" ht="38.25" x14ac:dyDescent="0.25">
      <c r="B481" s="423" t="s">
        <v>188</v>
      </c>
      <c r="C481" s="376" t="s">
        <v>1129</v>
      </c>
      <c r="D481" s="423" t="s">
        <v>31</v>
      </c>
      <c r="E481" s="423" t="s">
        <v>1130</v>
      </c>
      <c r="F481" s="515" t="s">
        <v>198</v>
      </c>
      <c r="G481" s="515"/>
      <c r="H481" s="377" t="s">
        <v>22</v>
      </c>
      <c r="I481" s="378">
        <v>2</v>
      </c>
      <c r="J481" s="378"/>
      <c r="K481" s="379">
        <v>1.18</v>
      </c>
      <c r="L481" s="379">
        <v>2.36</v>
      </c>
    </row>
    <row r="482" spans="2:12" ht="38.25" x14ac:dyDescent="0.25">
      <c r="B482" s="423" t="s">
        <v>188</v>
      </c>
      <c r="C482" s="376" t="s">
        <v>1131</v>
      </c>
      <c r="D482" s="423" t="s">
        <v>31</v>
      </c>
      <c r="E482" s="423" t="s">
        <v>1132</v>
      </c>
      <c r="F482" s="515" t="s">
        <v>198</v>
      </c>
      <c r="G482" s="515"/>
      <c r="H482" s="377" t="s">
        <v>22</v>
      </c>
      <c r="I482" s="378">
        <v>2</v>
      </c>
      <c r="J482" s="378"/>
      <c r="K482" s="379">
        <v>0.24</v>
      </c>
      <c r="L482" s="379">
        <v>0.48</v>
      </c>
    </row>
    <row r="483" spans="2:12" ht="38.25" x14ac:dyDescent="0.25">
      <c r="B483" s="423" t="s">
        <v>188</v>
      </c>
      <c r="C483" s="376" t="s">
        <v>1133</v>
      </c>
      <c r="D483" s="423" t="s">
        <v>31</v>
      </c>
      <c r="E483" s="423" t="s">
        <v>1134</v>
      </c>
      <c r="F483" s="515" t="s">
        <v>198</v>
      </c>
      <c r="G483" s="515"/>
      <c r="H483" s="377" t="s">
        <v>22</v>
      </c>
      <c r="I483" s="378">
        <v>2</v>
      </c>
      <c r="J483" s="378"/>
      <c r="K483" s="379">
        <v>0.89</v>
      </c>
      <c r="L483" s="379">
        <v>1.78</v>
      </c>
    </row>
    <row r="484" spans="2:12" ht="25.5" x14ac:dyDescent="0.25">
      <c r="B484" s="423" t="s">
        <v>188</v>
      </c>
      <c r="C484" s="376" t="s">
        <v>1135</v>
      </c>
      <c r="D484" s="423" t="s">
        <v>874</v>
      </c>
      <c r="E484" s="423" t="s">
        <v>1136</v>
      </c>
      <c r="F484" s="515" t="s">
        <v>198</v>
      </c>
      <c r="G484" s="515"/>
      <c r="H484" s="377" t="s">
        <v>851</v>
      </c>
      <c r="I484" s="378">
        <v>0.5</v>
      </c>
      <c r="J484" s="378"/>
      <c r="K484" s="379">
        <v>3.18</v>
      </c>
      <c r="L484" s="379">
        <v>1.59</v>
      </c>
    </row>
    <row r="485" spans="2:12" ht="25.5" x14ac:dyDescent="0.25">
      <c r="B485" s="423" t="s">
        <v>188</v>
      </c>
      <c r="C485" s="376" t="s">
        <v>1137</v>
      </c>
      <c r="D485" s="423" t="s">
        <v>175</v>
      </c>
      <c r="E485" s="423" t="s">
        <v>1138</v>
      </c>
      <c r="F485" s="515" t="s">
        <v>198</v>
      </c>
      <c r="G485" s="515"/>
      <c r="H485" s="377" t="s">
        <v>225</v>
      </c>
      <c r="I485" s="378">
        <v>1</v>
      </c>
      <c r="J485" s="378"/>
      <c r="K485" s="379">
        <v>14.9</v>
      </c>
      <c r="L485" s="379">
        <v>14.9</v>
      </c>
    </row>
    <row r="486" spans="2:12" ht="25.5" x14ac:dyDescent="0.25">
      <c r="B486" s="423" t="s">
        <v>188</v>
      </c>
      <c r="C486" s="376" t="s">
        <v>1139</v>
      </c>
      <c r="D486" s="423" t="s">
        <v>175</v>
      </c>
      <c r="E486" s="423" t="s">
        <v>1140</v>
      </c>
      <c r="F486" s="515" t="s">
        <v>198</v>
      </c>
      <c r="G486" s="515"/>
      <c r="H486" s="377" t="s">
        <v>225</v>
      </c>
      <c r="I486" s="378">
        <v>1</v>
      </c>
      <c r="J486" s="378"/>
      <c r="K486" s="379">
        <v>9</v>
      </c>
      <c r="L486" s="379">
        <v>9</v>
      </c>
    </row>
    <row r="487" spans="2:12" ht="15" x14ac:dyDescent="0.25">
      <c r="B487" s="424"/>
      <c r="C487" s="424"/>
      <c r="D487" s="424"/>
      <c r="E487" s="424"/>
      <c r="F487" s="424"/>
      <c r="G487" s="380"/>
      <c r="H487" s="424"/>
      <c r="I487" s="380"/>
      <c r="J487" s="424"/>
      <c r="K487" s="380"/>
      <c r="L487"/>
    </row>
    <row r="488" spans="2:12" ht="15.75" thickBot="1" x14ac:dyDescent="0.3">
      <c r="B488" s="424"/>
      <c r="C488" s="424"/>
      <c r="D488" s="424"/>
      <c r="E488" s="424"/>
      <c r="F488" s="424"/>
      <c r="G488" s="380"/>
      <c r="H488" s="424"/>
      <c r="I488" s="516"/>
      <c r="J488" s="516"/>
      <c r="K488" s="380"/>
      <c r="L488"/>
    </row>
    <row r="489" spans="2:12" ht="13.5" thickTop="1" x14ac:dyDescent="0.25">
      <c r="B489" s="381"/>
      <c r="C489" s="381"/>
      <c r="D489" s="381"/>
      <c r="E489" s="381"/>
      <c r="F489" s="381"/>
      <c r="G489" s="381"/>
      <c r="H489" s="381"/>
      <c r="I489" s="381"/>
      <c r="J489" s="381"/>
      <c r="K489" s="381"/>
      <c r="L489" s="381"/>
    </row>
    <row r="490" spans="2:12" ht="15" x14ac:dyDescent="0.25">
      <c r="B490" s="420" t="s">
        <v>908</v>
      </c>
      <c r="C490" s="366" t="s">
        <v>0</v>
      </c>
      <c r="D490" s="420" t="s">
        <v>183</v>
      </c>
      <c r="E490" s="420" t="s">
        <v>82</v>
      </c>
      <c r="F490" s="517" t="s">
        <v>1</v>
      </c>
      <c r="G490" s="517"/>
      <c r="H490" s="367" t="s">
        <v>3</v>
      </c>
      <c r="I490" s="366" t="s">
        <v>184</v>
      </c>
      <c r="J490" s="366" t="s">
        <v>1426</v>
      </c>
      <c r="K490" s="366" t="s">
        <v>185</v>
      </c>
      <c r="L490" s="366" t="s">
        <v>4</v>
      </c>
    </row>
    <row r="491" spans="2:12" ht="25.5" x14ac:dyDescent="0.25">
      <c r="B491" s="421" t="s">
        <v>7</v>
      </c>
      <c r="C491" s="368" t="s">
        <v>748</v>
      </c>
      <c r="D491" s="421" t="s">
        <v>124</v>
      </c>
      <c r="E491" s="421" t="s">
        <v>493</v>
      </c>
      <c r="F491" s="518" t="s">
        <v>215</v>
      </c>
      <c r="G491" s="518"/>
      <c r="H491" s="369" t="s">
        <v>225</v>
      </c>
      <c r="I491" s="370">
        <v>1</v>
      </c>
      <c r="J491" s="371"/>
      <c r="K491" s="371">
        <v>6.02</v>
      </c>
      <c r="L491" s="371">
        <v>6.02</v>
      </c>
    </row>
    <row r="492" spans="2:12" ht="38.25" x14ac:dyDescent="0.25">
      <c r="B492" s="422" t="s">
        <v>187</v>
      </c>
      <c r="C492" s="372" t="s">
        <v>216</v>
      </c>
      <c r="D492" s="422" t="s">
        <v>31</v>
      </c>
      <c r="E492" s="422" t="s">
        <v>217</v>
      </c>
      <c r="F492" s="519" t="s">
        <v>186</v>
      </c>
      <c r="G492" s="519"/>
      <c r="H492" s="373" t="s">
        <v>32</v>
      </c>
      <c r="I492" s="374">
        <v>0.1</v>
      </c>
      <c r="J492" s="374"/>
      <c r="K492" s="375">
        <v>18.48</v>
      </c>
      <c r="L492" s="375">
        <v>1.84</v>
      </c>
    </row>
    <row r="493" spans="2:12" ht="38.25" x14ac:dyDescent="0.25">
      <c r="B493" s="422" t="s">
        <v>187</v>
      </c>
      <c r="C493" s="372" t="s">
        <v>218</v>
      </c>
      <c r="D493" s="422" t="s">
        <v>31</v>
      </c>
      <c r="E493" s="422" t="s">
        <v>219</v>
      </c>
      <c r="F493" s="519" t="s">
        <v>186</v>
      </c>
      <c r="G493" s="519"/>
      <c r="H493" s="373" t="s">
        <v>32</v>
      </c>
      <c r="I493" s="374">
        <v>0.1</v>
      </c>
      <c r="J493" s="374"/>
      <c r="K493" s="375">
        <v>22.58</v>
      </c>
      <c r="L493" s="375">
        <v>2.25</v>
      </c>
    </row>
    <row r="494" spans="2:12" x14ac:dyDescent="0.25">
      <c r="B494" s="423" t="s">
        <v>188</v>
      </c>
      <c r="C494" s="376" t="s">
        <v>808</v>
      </c>
      <c r="D494" s="423" t="s">
        <v>175</v>
      </c>
      <c r="E494" s="423" t="s">
        <v>809</v>
      </c>
      <c r="F494" s="515" t="s">
        <v>198</v>
      </c>
      <c r="G494" s="515"/>
      <c r="H494" s="377" t="s">
        <v>225</v>
      </c>
      <c r="I494" s="378">
        <v>1</v>
      </c>
      <c r="J494" s="378"/>
      <c r="K494" s="379">
        <v>1.93</v>
      </c>
      <c r="L494" s="379">
        <v>1.93</v>
      </c>
    </row>
    <row r="495" spans="2:12" ht="15" x14ac:dyDescent="0.25">
      <c r="B495" s="424"/>
      <c r="C495" s="424"/>
      <c r="D495" s="424"/>
      <c r="E495" s="424"/>
      <c r="F495" s="424"/>
      <c r="G495" s="380"/>
      <c r="H495" s="424"/>
      <c r="I495" s="380"/>
      <c r="J495" s="424"/>
      <c r="K495" s="380"/>
      <c r="L495"/>
    </row>
    <row r="496" spans="2:12" ht="15.75" thickBot="1" x14ac:dyDescent="0.3">
      <c r="B496" s="85"/>
      <c r="C496" s="424"/>
      <c r="D496" s="424"/>
      <c r="E496" s="424"/>
      <c r="F496" s="424"/>
      <c r="G496" s="380"/>
      <c r="H496" s="424"/>
      <c r="I496" s="516"/>
      <c r="J496" s="516"/>
      <c r="K496" s="380"/>
      <c r="L496"/>
    </row>
    <row r="497" spans="2:12" ht="13.5" thickTop="1" x14ac:dyDescent="0.25">
      <c r="B497" s="381"/>
      <c r="C497" s="381"/>
      <c r="D497" s="381"/>
      <c r="E497" s="381"/>
      <c r="F497" s="381"/>
      <c r="G497" s="381"/>
      <c r="H497" s="381"/>
      <c r="I497" s="381"/>
      <c r="J497" s="381"/>
      <c r="K497" s="381"/>
      <c r="L497" s="381"/>
    </row>
    <row r="498" spans="2:12" ht="15" x14ac:dyDescent="0.25">
      <c r="B498" s="420" t="s">
        <v>909</v>
      </c>
      <c r="C498" s="366" t="s">
        <v>0</v>
      </c>
      <c r="D498" s="420" t="s">
        <v>183</v>
      </c>
      <c r="E498" s="420" t="s">
        <v>82</v>
      </c>
      <c r="F498" s="517" t="s">
        <v>1</v>
      </c>
      <c r="G498" s="517"/>
      <c r="H498" s="367" t="s">
        <v>3</v>
      </c>
      <c r="I498" s="366" t="s">
        <v>184</v>
      </c>
      <c r="J498" s="366" t="s">
        <v>1426</v>
      </c>
      <c r="K498" s="366" t="s">
        <v>185</v>
      </c>
      <c r="L498" s="366" t="s">
        <v>4</v>
      </c>
    </row>
    <row r="499" spans="2:12" ht="25.5" x14ac:dyDescent="0.25">
      <c r="B499" s="421" t="s">
        <v>7</v>
      </c>
      <c r="C499" s="368" t="s">
        <v>920</v>
      </c>
      <c r="D499" s="421" t="s">
        <v>124</v>
      </c>
      <c r="E499" s="421" t="s">
        <v>921</v>
      </c>
      <c r="F499" s="518">
        <v>89</v>
      </c>
      <c r="G499" s="518"/>
      <c r="H499" s="369" t="s">
        <v>225</v>
      </c>
      <c r="I499" s="370">
        <v>1</v>
      </c>
      <c r="J499" s="371"/>
      <c r="K499" s="371">
        <v>5.19</v>
      </c>
      <c r="L499" s="371">
        <v>5.19</v>
      </c>
    </row>
    <row r="500" spans="2:12" ht="38.25" x14ac:dyDescent="0.25">
      <c r="B500" s="422" t="s">
        <v>187</v>
      </c>
      <c r="C500" s="372" t="s">
        <v>201</v>
      </c>
      <c r="D500" s="422" t="s">
        <v>31</v>
      </c>
      <c r="E500" s="422" t="s">
        <v>48</v>
      </c>
      <c r="F500" s="519" t="s">
        <v>186</v>
      </c>
      <c r="G500" s="519"/>
      <c r="H500" s="373" t="s">
        <v>32</v>
      </c>
      <c r="I500" s="374">
        <v>0.1</v>
      </c>
      <c r="J500" s="374"/>
      <c r="K500" s="375">
        <v>17.43</v>
      </c>
      <c r="L500" s="375">
        <v>1.74</v>
      </c>
    </row>
    <row r="501" spans="2:12" ht="38.25" x14ac:dyDescent="0.25">
      <c r="B501" s="422" t="s">
        <v>187</v>
      </c>
      <c r="C501" s="372" t="s">
        <v>218</v>
      </c>
      <c r="D501" s="422" t="s">
        <v>31</v>
      </c>
      <c r="E501" s="422" t="s">
        <v>219</v>
      </c>
      <c r="F501" s="519" t="s">
        <v>186</v>
      </c>
      <c r="G501" s="519"/>
      <c r="H501" s="373" t="s">
        <v>32</v>
      </c>
      <c r="I501" s="374">
        <v>0.1</v>
      </c>
      <c r="J501" s="374"/>
      <c r="K501" s="375">
        <v>22.58</v>
      </c>
      <c r="L501" s="375">
        <v>2.25</v>
      </c>
    </row>
    <row r="502" spans="2:12" x14ac:dyDescent="0.25">
      <c r="B502" s="423" t="s">
        <v>188</v>
      </c>
      <c r="C502" s="376" t="s">
        <v>810</v>
      </c>
      <c r="D502" s="423" t="s">
        <v>175</v>
      </c>
      <c r="E502" s="423" t="s">
        <v>811</v>
      </c>
      <c r="F502" s="515" t="s">
        <v>198</v>
      </c>
      <c r="G502" s="515"/>
      <c r="H502" s="377" t="s">
        <v>225</v>
      </c>
      <c r="I502" s="378">
        <v>1</v>
      </c>
      <c r="J502" s="378"/>
      <c r="K502" s="379">
        <v>1.2</v>
      </c>
      <c r="L502" s="379">
        <v>1.2</v>
      </c>
    </row>
    <row r="503" spans="2:12" ht="15" x14ac:dyDescent="0.25">
      <c r="B503" s="424"/>
      <c r="C503" s="424"/>
      <c r="D503" s="424"/>
      <c r="E503" s="424"/>
      <c r="F503" s="424"/>
      <c r="G503" s="380"/>
      <c r="H503" s="424"/>
      <c r="I503" s="380"/>
      <c r="J503" s="424"/>
      <c r="K503" s="380"/>
      <c r="L503"/>
    </row>
    <row r="504" spans="2:12" ht="15" x14ac:dyDescent="0.25">
      <c r="B504" s="424"/>
      <c r="C504" s="424"/>
      <c r="D504" s="424"/>
      <c r="E504" s="424"/>
      <c r="F504" s="424"/>
      <c r="G504" s="380"/>
      <c r="H504" s="424"/>
      <c r="I504" s="516"/>
      <c r="J504" s="516"/>
      <c r="K504" s="380"/>
      <c r="L504"/>
    </row>
    <row r="505" spans="2:12" ht="15.75" thickBot="1" x14ac:dyDescent="0.3">
      <c r="B505" s="424"/>
      <c r="C505" s="424"/>
      <c r="D505" s="424"/>
      <c r="E505" s="424"/>
      <c r="F505" s="424"/>
      <c r="G505" s="380"/>
      <c r="H505" s="424"/>
      <c r="I505" s="424"/>
      <c r="J505" s="424"/>
      <c r="K505" s="380"/>
      <c r="L505"/>
    </row>
    <row r="506" spans="2:12" ht="13.5" thickTop="1" x14ac:dyDescent="0.25">
      <c r="B506" s="381"/>
      <c r="C506" s="381"/>
      <c r="D506" s="381"/>
      <c r="E506" s="381"/>
      <c r="F506" s="381"/>
      <c r="G506" s="381"/>
      <c r="H506" s="381"/>
      <c r="I506" s="381"/>
      <c r="J506" s="381"/>
      <c r="K506" s="381"/>
      <c r="L506" s="381"/>
    </row>
    <row r="507" spans="2:12" ht="15" x14ac:dyDescent="0.25">
      <c r="B507" s="420" t="s">
        <v>1637</v>
      </c>
      <c r="C507" s="366" t="s">
        <v>0</v>
      </c>
      <c r="D507" s="420" t="s">
        <v>183</v>
      </c>
      <c r="E507" s="420" t="s">
        <v>82</v>
      </c>
      <c r="F507" s="517" t="s">
        <v>1</v>
      </c>
      <c r="G507" s="517"/>
      <c r="H507" s="367" t="s">
        <v>3</v>
      </c>
      <c r="I507" s="366" t="s">
        <v>184</v>
      </c>
      <c r="J507" s="366" t="s">
        <v>1426</v>
      </c>
      <c r="K507" s="366" t="s">
        <v>185</v>
      </c>
      <c r="L507" s="366" t="s">
        <v>4</v>
      </c>
    </row>
    <row r="508" spans="2:12" ht="25.5" customHeight="1" x14ac:dyDescent="0.25">
      <c r="B508" s="421" t="s">
        <v>7</v>
      </c>
      <c r="C508" s="368" t="s">
        <v>1352</v>
      </c>
      <c r="D508" s="421" t="s">
        <v>124</v>
      </c>
      <c r="E508" s="421" t="s">
        <v>302</v>
      </c>
      <c r="F508" s="518" t="s">
        <v>1122</v>
      </c>
      <c r="G508" s="518"/>
      <c r="H508" s="369" t="s">
        <v>35</v>
      </c>
      <c r="I508" s="370">
        <v>1</v>
      </c>
      <c r="J508" s="371"/>
      <c r="K508" s="371">
        <v>49.24</v>
      </c>
      <c r="L508" s="371">
        <v>45.19</v>
      </c>
    </row>
    <row r="509" spans="2:12" ht="38.25" customHeight="1" x14ac:dyDescent="0.25">
      <c r="B509" s="422" t="s">
        <v>187</v>
      </c>
      <c r="C509" s="372" t="s">
        <v>216</v>
      </c>
      <c r="D509" s="422" t="s">
        <v>31</v>
      </c>
      <c r="E509" s="422" t="s">
        <v>217</v>
      </c>
      <c r="F509" s="519" t="s">
        <v>186</v>
      </c>
      <c r="G509" s="519"/>
      <c r="H509" s="373" t="s">
        <v>32</v>
      </c>
      <c r="I509" s="374">
        <v>0.89500000000000002</v>
      </c>
      <c r="J509" s="374"/>
      <c r="K509" s="375">
        <v>18.48</v>
      </c>
      <c r="L509" s="375">
        <v>7.85</v>
      </c>
    </row>
    <row r="510" spans="2:12" ht="38.25" customHeight="1" x14ac:dyDescent="0.25">
      <c r="B510" s="422" t="s">
        <v>187</v>
      </c>
      <c r="C510" s="372" t="s">
        <v>218</v>
      </c>
      <c r="D510" s="422" t="s">
        <v>31</v>
      </c>
      <c r="E510" s="422" t="s">
        <v>219</v>
      </c>
      <c r="F510" s="519" t="s">
        <v>186</v>
      </c>
      <c r="G510" s="519"/>
      <c r="H510" s="373" t="s">
        <v>32</v>
      </c>
      <c r="I510" s="374">
        <v>0.89500000000000002</v>
      </c>
      <c r="J510" s="374"/>
      <c r="K510" s="375">
        <v>22.58</v>
      </c>
      <c r="L510" s="375">
        <v>9.59</v>
      </c>
    </row>
    <row r="511" spans="2:12" ht="12.75" customHeight="1" x14ac:dyDescent="0.25">
      <c r="B511" s="423" t="s">
        <v>188</v>
      </c>
      <c r="C511" s="376" t="s">
        <v>1522</v>
      </c>
      <c r="D511" s="423" t="s">
        <v>31</v>
      </c>
      <c r="E511" s="423" t="s">
        <v>1523</v>
      </c>
      <c r="F511" s="515" t="s">
        <v>198</v>
      </c>
      <c r="G511" s="515"/>
      <c r="H511" s="377" t="s">
        <v>35</v>
      </c>
      <c r="I511" s="378">
        <v>1</v>
      </c>
      <c r="J511" s="378"/>
      <c r="K511" s="379">
        <v>12.51</v>
      </c>
      <c r="L511" s="379">
        <v>27.75</v>
      </c>
    </row>
    <row r="512" spans="2:12" ht="15" x14ac:dyDescent="0.25">
      <c r="B512" s="424"/>
      <c r="C512" s="424"/>
      <c r="D512" s="424"/>
      <c r="E512" s="424"/>
      <c r="F512" s="424"/>
      <c r="G512" s="380"/>
      <c r="H512" s="424"/>
      <c r="I512" s="380"/>
      <c r="J512" s="424"/>
      <c r="K512" s="380"/>
      <c r="L512"/>
    </row>
    <row r="513" spans="2:12" ht="15.75" thickBot="1" x14ac:dyDescent="0.3">
      <c r="B513" s="424"/>
      <c r="C513" s="424"/>
      <c r="D513" s="424"/>
      <c r="E513" s="424"/>
      <c r="F513" s="424"/>
      <c r="G513" s="380"/>
      <c r="H513" s="424"/>
      <c r="I513" s="516"/>
      <c r="J513" s="516"/>
      <c r="K513" s="380"/>
      <c r="L513"/>
    </row>
    <row r="514" spans="2:12" ht="13.5" thickTop="1" x14ac:dyDescent="0.25">
      <c r="B514" s="381"/>
      <c r="C514" s="381"/>
      <c r="D514" s="381"/>
      <c r="E514" s="381"/>
      <c r="F514" s="381"/>
      <c r="G514" s="381"/>
      <c r="H514" s="381"/>
      <c r="I514" s="381"/>
      <c r="J514" s="381"/>
      <c r="K514" s="381"/>
      <c r="L514" s="381"/>
    </row>
    <row r="515" spans="2:12" ht="15" x14ac:dyDescent="0.25">
      <c r="B515" s="420" t="s">
        <v>1566</v>
      </c>
      <c r="C515" s="366" t="s">
        <v>0</v>
      </c>
      <c r="D515" s="420" t="s">
        <v>183</v>
      </c>
      <c r="E515" s="420" t="s">
        <v>82</v>
      </c>
      <c r="F515" s="517" t="s">
        <v>1</v>
      </c>
      <c r="G515" s="517"/>
      <c r="H515" s="367" t="s">
        <v>3</v>
      </c>
      <c r="I515" s="366" t="s">
        <v>184</v>
      </c>
      <c r="J515" s="366" t="s">
        <v>1426</v>
      </c>
      <c r="K515" s="366" t="s">
        <v>185</v>
      </c>
      <c r="L515" s="366" t="s">
        <v>4</v>
      </c>
    </row>
    <row r="516" spans="2:12" ht="25.5" customHeight="1" x14ac:dyDescent="0.25">
      <c r="B516" s="421" t="s">
        <v>7</v>
      </c>
      <c r="C516" s="368" t="s">
        <v>922</v>
      </c>
      <c r="D516" s="421" t="s">
        <v>175</v>
      </c>
      <c r="E516" s="421" t="s">
        <v>923</v>
      </c>
      <c r="F516" s="518" t="s">
        <v>1141</v>
      </c>
      <c r="G516" s="518"/>
      <c r="H516" s="369" t="s">
        <v>225</v>
      </c>
      <c r="I516" s="370">
        <v>1</v>
      </c>
      <c r="J516" s="371"/>
      <c r="K516" s="371">
        <v>11.92</v>
      </c>
      <c r="L516" s="371">
        <f>SUM(L517:L521)</f>
        <v>11.92</v>
      </c>
    </row>
    <row r="517" spans="2:12" ht="38.25" x14ac:dyDescent="0.25">
      <c r="B517" s="422" t="s">
        <v>187</v>
      </c>
      <c r="C517" s="372" t="s">
        <v>1112</v>
      </c>
      <c r="D517" s="422" t="s">
        <v>175</v>
      </c>
      <c r="E517" s="422" t="s">
        <v>1113</v>
      </c>
      <c r="F517" s="519" t="s">
        <v>1098</v>
      </c>
      <c r="G517" s="519"/>
      <c r="H517" s="373" t="s">
        <v>1099</v>
      </c>
      <c r="I517" s="374">
        <v>0.2</v>
      </c>
      <c r="J517" s="374"/>
      <c r="K517" s="375">
        <v>3.51</v>
      </c>
      <c r="L517" s="375">
        <f>TRUNC(K517*I517,2)</f>
        <v>0.7</v>
      </c>
    </row>
    <row r="518" spans="2:12" ht="38.25" x14ac:dyDescent="0.25">
      <c r="B518" s="422" t="s">
        <v>187</v>
      </c>
      <c r="C518" s="372" t="s">
        <v>1096</v>
      </c>
      <c r="D518" s="422" t="s">
        <v>175</v>
      </c>
      <c r="E518" s="422" t="s">
        <v>1097</v>
      </c>
      <c r="F518" s="519" t="s">
        <v>1098</v>
      </c>
      <c r="G518" s="519"/>
      <c r="H518" s="373" t="s">
        <v>1099</v>
      </c>
      <c r="I518" s="374">
        <v>0.2</v>
      </c>
      <c r="J518" s="374"/>
      <c r="K518" s="375">
        <v>3.63</v>
      </c>
      <c r="L518" s="375">
        <f>TRUNC(K518*I518,2)</f>
        <v>0.72</v>
      </c>
    </row>
    <row r="519" spans="2:12" ht="15" customHeight="1" x14ac:dyDescent="0.25">
      <c r="B519" s="423" t="s">
        <v>188</v>
      </c>
      <c r="C519" s="376" t="s">
        <v>812</v>
      </c>
      <c r="D519" s="423" t="s">
        <v>175</v>
      </c>
      <c r="E519" s="423" t="s">
        <v>813</v>
      </c>
      <c r="F519" s="515" t="s">
        <v>198</v>
      </c>
      <c r="G519" s="515"/>
      <c r="H519" s="377" t="s">
        <v>225</v>
      </c>
      <c r="I519" s="378">
        <v>1</v>
      </c>
      <c r="J519" s="378"/>
      <c r="K519" s="379">
        <v>4.9000000000000004</v>
      </c>
      <c r="L519" s="379">
        <f t="shared" ref="L519:L521" si="2">TRUNC(K519*I519,2)</f>
        <v>4.9000000000000004</v>
      </c>
    </row>
    <row r="520" spans="2:12" ht="38.25" x14ac:dyDescent="0.25">
      <c r="B520" s="423" t="s">
        <v>188</v>
      </c>
      <c r="C520" s="376" t="s">
        <v>222</v>
      </c>
      <c r="D520" s="423" t="s">
        <v>31</v>
      </c>
      <c r="E520" s="423" t="s">
        <v>1114</v>
      </c>
      <c r="F520" s="515" t="s">
        <v>189</v>
      </c>
      <c r="G520" s="515"/>
      <c r="H520" s="377" t="s">
        <v>32</v>
      </c>
      <c r="I520" s="378">
        <v>0.2</v>
      </c>
      <c r="J520" s="378"/>
      <c r="K520" s="379">
        <v>16.39</v>
      </c>
      <c r="L520" s="379">
        <f t="shared" si="2"/>
        <v>3.27</v>
      </c>
    </row>
    <row r="521" spans="2:12" ht="38.25" x14ac:dyDescent="0.25">
      <c r="B521" s="423" t="s">
        <v>188</v>
      </c>
      <c r="C521" s="376" t="s">
        <v>173</v>
      </c>
      <c r="D521" s="423" t="s">
        <v>31</v>
      </c>
      <c r="E521" s="423" t="s">
        <v>47</v>
      </c>
      <c r="F521" s="515" t="s">
        <v>189</v>
      </c>
      <c r="G521" s="515"/>
      <c r="H521" s="377" t="s">
        <v>32</v>
      </c>
      <c r="I521" s="378">
        <v>0.2</v>
      </c>
      <c r="J521" s="378"/>
      <c r="K521" s="379">
        <v>11.67</v>
      </c>
      <c r="L521" s="379">
        <f t="shared" si="2"/>
        <v>2.33</v>
      </c>
    </row>
    <row r="522" spans="2:12" ht="15" x14ac:dyDescent="0.25">
      <c r="B522" s="424"/>
      <c r="C522" s="424"/>
      <c r="D522" s="424"/>
      <c r="E522" s="424"/>
      <c r="F522" s="424"/>
      <c r="G522" s="380"/>
      <c r="H522" s="424"/>
      <c r="I522" s="380"/>
      <c r="J522" s="424"/>
      <c r="K522" s="380"/>
      <c r="L522"/>
    </row>
    <row r="523" spans="2:12" ht="15" x14ac:dyDescent="0.25">
      <c r="B523" s="424"/>
      <c r="C523" s="424"/>
      <c r="D523" s="424"/>
      <c r="E523" s="424"/>
      <c r="F523" s="424"/>
      <c r="G523" s="380"/>
      <c r="H523" s="424"/>
      <c r="I523" s="516"/>
      <c r="J523" s="516"/>
      <c r="K523" s="380"/>
      <c r="L523"/>
    </row>
    <row r="524" spans="2:12" ht="15" x14ac:dyDescent="0.25">
      <c r="B524" s="420" t="s">
        <v>912</v>
      </c>
      <c r="C524" s="366" t="s">
        <v>0</v>
      </c>
      <c r="D524" s="420" t="s">
        <v>183</v>
      </c>
      <c r="E524" s="420" t="s">
        <v>82</v>
      </c>
      <c r="F524" s="517" t="s">
        <v>1</v>
      </c>
      <c r="G524" s="517"/>
      <c r="H524" s="367" t="s">
        <v>3</v>
      </c>
      <c r="I524" s="366" t="s">
        <v>184</v>
      </c>
      <c r="J524" s="366" t="s">
        <v>1426</v>
      </c>
      <c r="K524" s="366" t="s">
        <v>185</v>
      </c>
      <c r="L524" s="366" t="s">
        <v>4</v>
      </c>
    </row>
    <row r="525" spans="2:12" ht="25.5" x14ac:dyDescent="0.25">
      <c r="B525" s="421" t="s">
        <v>7</v>
      </c>
      <c r="C525" s="368" t="s">
        <v>747</v>
      </c>
      <c r="D525" s="421" t="s">
        <v>124</v>
      </c>
      <c r="E525" s="421" t="s">
        <v>443</v>
      </c>
      <c r="F525" s="518">
        <v>63</v>
      </c>
      <c r="G525" s="518"/>
      <c r="H525" s="369" t="s">
        <v>22</v>
      </c>
      <c r="I525" s="370">
        <v>1</v>
      </c>
      <c r="J525" s="371"/>
      <c r="K525" s="371">
        <v>5.29</v>
      </c>
      <c r="L525" s="371">
        <v>5.29</v>
      </c>
    </row>
    <row r="526" spans="2:12" ht="38.25" x14ac:dyDescent="0.25">
      <c r="B526" s="422" t="s">
        <v>187</v>
      </c>
      <c r="C526" s="372" t="s">
        <v>218</v>
      </c>
      <c r="D526" s="422" t="s">
        <v>31</v>
      </c>
      <c r="E526" s="422" t="s">
        <v>219</v>
      </c>
      <c r="F526" s="519" t="s">
        <v>186</v>
      </c>
      <c r="G526" s="519"/>
      <c r="H526" s="373" t="s">
        <v>32</v>
      </c>
      <c r="I526" s="374">
        <v>0.1</v>
      </c>
      <c r="J526" s="374"/>
      <c r="K526" s="375">
        <v>22.58</v>
      </c>
      <c r="L526" s="375">
        <v>2.25</v>
      </c>
    </row>
    <row r="527" spans="2:12" ht="38.25" x14ac:dyDescent="0.25">
      <c r="B527" s="422" t="s">
        <v>187</v>
      </c>
      <c r="C527" s="372" t="s">
        <v>216</v>
      </c>
      <c r="D527" s="422" t="s">
        <v>31</v>
      </c>
      <c r="E527" s="422" t="s">
        <v>217</v>
      </c>
      <c r="F527" s="519" t="s">
        <v>186</v>
      </c>
      <c r="G527" s="519"/>
      <c r="H527" s="373" t="s">
        <v>32</v>
      </c>
      <c r="I527" s="374">
        <v>0.1</v>
      </c>
      <c r="J527" s="374"/>
      <c r="K527" s="375">
        <v>18.48</v>
      </c>
      <c r="L527" s="375">
        <v>1.84</v>
      </c>
    </row>
    <row r="528" spans="2:12" x14ac:dyDescent="0.25">
      <c r="B528" s="423" t="s">
        <v>188</v>
      </c>
      <c r="C528" s="376" t="s">
        <v>806</v>
      </c>
      <c r="D528" s="423" t="s">
        <v>175</v>
      </c>
      <c r="E528" s="423" t="s">
        <v>807</v>
      </c>
      <c r="F528" s="515" t="s">
        <v>198</v>
      </c>
      <c r="G528" s="515"/>
      <c r="H528" s="377" t="s">
        <v>225</v>
      </c>
      <c r="I528" s="378">
        <v>1</v>
      </c>
      <c r="J528" s="378"/>
      <c r="K528" s="379">
        <v>1.2</v>
      </c>
      <c r="L528" s="379">
        <v>1.2</v>
      </c>
    </row>
    <row r="529" spans="2:12" ht="15" x14ac:dyDescent="0.25">
      <c r="B529" s="424"/>
      <c r="C529" s="424"/>
      <c r="D529" s="424"/>
      <c r="E529" s="424"/>
      <c r="F529" s="424"/>
      <c r="G529" s="380"/>
      <c r="H529" s="424"/>
      <c r="I529" s="380"/>
      <c r="J529" s="424"/>
      <c r="K529" s="380"/>
      <c r="L529"/>
    </row>
    <row r="530" spans="2:12" ht="15" x14ac:dyDescent="0.25">
      <c r="B530" s="424"/>
      <c r="C530" s="424"/>
      <c r="D530" s="424"/>
      <c r="E530" s="424"/>
      <c r="F530" s="424"/>
      <c r="G530" s="380"/>
      <c r="H530" s="424"/>
      <c r="I530" s="516"/>
      <c r="J530" s="516"/>
      <c r="K530" s="380"/>
      <c r="L530"/>
    </row>
    <row r="531" spans="2:12" ht="15" x14ac:dyDescent="0.25">
      <c r="B531" s="420" t="s">
        <v>913</v>
      </c>
      <c r="C531" s="366" t="s">
        <v>0</v>
      </c>
      <c r="D531" s="420" t="s">
        <v>183</v>
      </c>
      <c r="E531" s="420" t="s">
        <v>82</v>
      </c>
      <c r="F531" s="517" t="s">
        <v>1</v>
      </c>
      <c r="G531" s="517"/>
      <c r="H531" s="367" t="s">
        <v>3</v>
      </c>
      <c r="I531" s="366" t="s">
        <v>184</v>
      </c>
      <c r="J531" s="366" t="s">
        <v>1426</v>
      </c>
      <c r="K531" s="366" t="s">
        <v>185</v>
      </c>
      <c r="L531" s="366" t="s">
        <v>4</v>
      </c>
    </row>
    <row r="532" spans="2:12" ht="25.5" x14ac:dyDescent="0.25">
      <c r="B532" s="421" t="s">
        <v>7</v>
      </c>
      <c r="C532" s="368" t="s">
        <v>841</v>
      </c>
      <c r="D532" s="421" t="s">
        <v>842</v>
      </c>
      <c r="E532" s="421" t="s">
        <v>843</v>
      </c>
      <c r="F532" s="518" t="s">
        <v>1064</v>
      </c>
      <c r="G532" s="518"/>
      <c r="H532" s="369" t="s">
        <v>22</v>
      </c>
      <c r="I532" s="370">
        <v>1</v>
      </c>
      <c r="J532" s="371"/>
      <c r="K532" s="371">
        <v>10.17</v>
      </c>
      <c r="L532" s="371">
        <v>10.17</v>
      </c>
    </row>
    <row r="533" spans="2:12" ht="25.5" x14ac:dyDescent="0.25">
      <c r="B533" s="423" t="s">
        <v>188</v>
      </c>
      <c r="C533" s="376" t="s">
        <v>1065</v>
      </c>
      <c r="D533" s="423" t="s">
        <v>842</v>
      </c>
      <c r="E533" s="423" t="s">
        <v>1066</v>
      </c>
      <c r="F533" s="515" t="s">
        <v>189</v>
      </c>
      <c r="G533" s="515"/>
      <c r="H533" s="377" t="s">
        <v>32</v>
      </c>
      <c r="I533" s="378">
        <v>0.13</v>
      </c>
      <c r="J533" s="378"/>
      <c r="K533" s="379">
        <v>15.53</v>
      </c>
      <c r="L533" s="379">
        <v>2.0099999999999998</v>
      </c>
    </row>
    <row r="534" spans="2:12" ht="25.5" x14ac:dyDescent="0.25">
      <c r="B534" s="423" t="s">
        <v>188</v>
      </c>
      <c r="C534" s="376" t="s">
        <v>1067</v>
      </c>
      <c r="D534" s="423" t="s">
        <v>842</v>
      </c>
      <c r="E534" s="423" t="s">
        <v>223</v>
      </c>
      <c r="F534" s="515" t="s">
        <v>189</v>
      </c>
      <c r="G534" s="515"/>
      <c r="H534" s="377" t="s">
        <v>32</v>
      </c>
      <c r="I534" s="378">
        <v>0.13</v>
      </c>
      <c r="J534" s="378"/>
      <c r="K534" s="379">
        <v>22.11</v>
      </c>
      <c r="L534" s="379">
        <v>2.87</v>
      </c>
    </row>
    <row r="535" spans="2:12" ht="25.5" x14ac:dyDescent="0.25">
      <c r="B535" s="423" t="s">
        <v>188</v>
      </c>
      <c r="C535" s="376" t="s">
        <v>1068</v>
      </c>
      <c r="D535" s="423" t="s">
        <v>842</v>
      </c>
      <c r="E535" s="423" t="s">
        <v>1069</v>
      </c>
      <c r="F535" s="515" t="s">
        <v>198</v>
      </c>
      <c r="G535" s="515"/>
      <c r="H535" s="377" t="s">
        <v>22</v>
      </c>
      <c r="I535" s="378">
        <v>1</v>
      </c>
      <c r="J535" s="378"/>
      <c r="K535" s="379">
        <v>1.48</v>
      </c>
      <c r="L535" s="379">
        <v>1.48</v>
      </c>
    </row>
    <row r="536" spans="2:12" ht="25.5" x14ac:dyDescent="0.25">
      <c r="B536" s="423" t="s">
        <v>188</v>
      </c>
      <c r="C536" s="376" t="s">
        <v>1070</v>
      </c>
      <c r="D536" s="423" t="s">
        <v>842</v>
      </c>
      <c r="E536" s="423" t="s">
        <v>1071</v>
      </c>
      <c r="F536" s="515" t="s">
        <v>198</v>
      </c>
      <c r="G536" s="515"/>
      <c r="H536" s="377" t="s">
        <v>22</v>
      </c>
      <c r="I536" s="378">
        <v>1</v>
      </c>
      <c r="J536" s="378"/>
      <c r="K536" s="379">
        <v>0.22</v>
      </c>
      <c r="L536" s="379">
        <v>0.22</v>
      </c>
    </row>
    <row r="537" spans="2:12" ht="25.5" x14ac:dyDescent="0.25">
      <c r="B537" s="423" t="s">
        <v>188</v>
      </c>
      <c r="C537" s="376" t="s">
        <v>1072</v>
      </c>
      <c r="D537" s="423" t="s">
        <v>842</v>
      </c>
      <c r="E537" s="423" t="s">
        <v>1073</v>
      </c>
      <c r="F537" s="515" t="s">
        <v>198</v>
      </c>
      <c r="G537" s="515"/>
      <c r="H537" s="377" t="s">
        <v>22</v>
      </c>
      <c r="I537" s="378">
        <v>1</v>
      </c>
      <c r="J537" s="378"/>
      <c r="K537" s="379">
        <v>3.52</v>
      </c>
      <c r="L537" s="379">
        <v>3.52</v>
      </c>
    </row>
    <row r="538" spans="2:12" ht="25.5" x14ac:dyDescent="0.25">
      <c r="B538" s="423" t="s">
        <v>188</v>
      </c>
      <c r="C538" s="376" t="s">
        <v>1074</v>
      </c>
      <c r="D538" s="423" t="s">
        <v>842</v>
      </c>
      <c r="E538" s="423" t="s">
        <v>1075</v>
      </c>
      <c r="F538" s="515" t="s">
        <v>198</v>
      </c>
      <c r="G538" s="515"/>
      <c r="H538" s="377" t="s">
        <v>22</v>
      </c>
      <c r="I538" s="378">
        <v>1</v>
      </c>
      <c r="J538" s="378"/>
      <c r="K538" s="379">
        <v>7.0000000000000007E-2</v>
      </c>
      <c r="L538" s="379">
        <v>7.0000000000000007E-2</v>
      </c>
    </row>
    <row r="539" spans="2:12" ht="15" x14ac:dyDescent="0.25">
      <c r="B539" s="424"/>
      <c r="C539" s="424"/>
      <c r="D539" s="424"/>
      <c r="E539" s="424"/>
      <c r="F539" s="424"/>
      <c r="G539" s="380"/>
      <c r="H539" s="424"/>
      <c r="I539" s="380"/>
      <c r="J539" s="424"/>
      <c r="K539" s="380"/>
      <c r="L539"/>
    </row>
    <row r="540" spans="2:12" ht="15" x14ac:dyDescent="0.25">
      <c r="B540" s="424"/>
      <c r="C540" s="424"/>
      <c r="D540" s="424"/>
      <c r="E540" s="424"/>
      <c r="F540" s="424"/>
      <c r="G540" s="380"/>
      <c r="H540" s="424"/>
      <c r="I540" s="516"/>
      <c r="J540" s="516"/>
      <c r="K540" s="380"/>
      <c r="L540"/>
    </row>
    <row r="541" spans="2:12" ht="15" x14ac:dyDescent="0.25">
      <c r="B541" s="420" t="s">
        <v>1228</v>
      </c>
      <c r="C541" s="366" t="s">
        <v>0</v>
      </c>
      <c r="D541" s="420" t="s">
        <v>183</v>
      </c>
      <c r="E541" s="420" t="s">
        <v>82</v>
      </c>
      <c r="F541" s="517" t="s">
        <v>1</v>
      </c>
      <c r="G541" s="517"/>
      <c r="H541" s="367" t="s">
        <v>3</v>
      </c>
      <c r="I541" s="366" t="s">
        <v>184</v>
      </c>
      <c r="J541" s="366" t="s">
        <v>1426</v>
      </c>
      <c r="K541" s="366" t="s">
        <v>185</v>
      </c>
      <c r="L541" s="366" t="s">
        <v>4</v>
      </c>
    </row>
    <row r="542" spans="2:12" ht="25.5" x14ac:dyDescent="0.25">
      <c r="B542" s="421" t="s">
        <v>7</v>
      </c>
      <c r="C542" s="368" t="s">
        <v>1237</v>
      </c>
      <c r="D542" s="421" t="s">
        <v>212</v>
      </c>
      <c r="E542" s="421" t="s">
        <v>1238</v>
      </c>
      <c r="F542" s="518" t="s">
        <v>1286</v>
      </c>
      <c r="G542" s="518"/>
      <c r="H542" s="369" t="s">
        <v>22</v>
      </c>
      <c r="I542" s="370">
        <v>1</v>
      </c>
      <c r="J542" s="371"/>
      <c r="K542" s="371">
        <v>10.050000000000001</v>
      </c>
      <c r="L542" s="371">
        <v>10.050000000000001</v>
      </c>
    </row>
    <row r="543" spans="2:12" ht="38.25" x14ac:dyDescent="0.25">
      <c r="B543" s="422" t="s">
        <v>187</v>
      </c>
      <c r="C543" s="372" t="s">
        <v>216</v>
      </c>
      <c r="D543" s="422" t="s">
        <v>31</v>
      </c>
      <c r="E543" s="422" t="s">
        <v>217</v>
      </c>
      <c r="F543" s="519" t="s">
        <v>186</v>
      </c>
      <c r="G543" s="519"/>
      <c r="H543" s="373" t="s">
        <v>32</v>
      </c>
      <c r="I543" s="374">
        <v>0.15</v>
      </c>
      <c r="J543" s="374"/>
      <c r="K543" s="375">
        <v>18.48</v>
      </c>
      <c r="L543" s="375">
        <v>2.77</v>
      </c>
    </row>
    <row r="544" spans="2:12" ht="38.25" x14ac:dyDescent="0.25">
      <c r="B544" s="422" t="s">
        <v>187</v>
      </c>
      <c r="C544" s="372" t="s">
        <v>218</v>
      </c>
      <c r="D544" s="422" t="s">
        <v>31</v>
      </c>
      <c r="E544" s="422" t="s">
        <v>219</v>
      </c>
      <c r="F544" s="519" t="s">
        <v>186</v>
      </c>
      <c r="G544" s="519"/>
      <c r="H544" s="373" t="s">
        <v>32</v>
      </c>
      <c r="I544" s="374">
        <v>0.15</v>
      </c>
      <c r="J544" s="374"/>
      <c r="K544" s="375">
        <v>22.58</v>
      </c>
      <c r="L544" s="375">
        <v>3.38</v>
      </c>
    </row>
    <row r="545" spans="2:12" x14ac:dyDescent="0.25">
      <c r="B545" s="423" t="s">
        <v>188</v>
      </c>
      <c r="C545" s="376" t="s">
        <v>1571</v>
      </c>
      <c r="D545" s="423" t="s">
        <v>212</v>
      </c>
      <c r="E545" s="423" t="s">
        <v>1572</v>
      </c>
      <c r="F545" s="515" t="s">
        <v>198</v>
      </c>
      <c r="G545" s="515"/>
      <c r="H545" s="377" t="s">
        <v>22</v>
      </c>
      <c r="I545" s="378">
        <v>1</v>
      </c>
      <c r="J545" s="378"/>
      <c r="K545" s="379">
        <v>3.9</v>
      </c>
      <c r="L545" s="379">
        <v>3.9</v>
      </c>
    </row>
    <row r="546" spans="2:12" ht="15" x14ac:dyDescent="0.25">
      <c r="B546" s="424"/>
      <c r="C546" s="424"/>
      <c r="D546" s="424"/>
      <c r="E546" s="424"/>
      <c r="F546" s="424"/>
      <c r="G546" s="380"/>
      <c r="H546" s="424"/>
      <c r="I546" s="380"/>
      <c r="J546" s="424"/>
      <c r="K546" s="380"/>
      <c r="L546"/>
    </row>
    <row r="547" spans="2:12" ht="15" x14ac:dyDescent="0.25">
      <c r="B547" s="424"/>
      <c r="C547" s="424"/>
      <c r="D547" s="424"/>
      <c r="E547" s="424"/>
      <c r="F547" s="424"/>
      <c r="G547" s="380"/>
      <c r="H547" s="424"/>
      <c r="I547" s="516"/>
      <c r="J547" s="516"/>
      <c r="K547" s="380"/>
      <c r="L547"/>
    </row>
    <row r="548" spans="2:12" ht="15" x14ac:dyDescent="0.25">
      <c r="B548" s="420" t="s">
        <v>1229</v>
      </c>
      <c r="C548" s="366" t="s">
        <v>0</v>
      </c>
      <c r="D548" s="420" t="s">
        <v>183</v>
      </c>
      <c r="E548" s="420" t="s">
        <v>82</v>
      </c>
      <c r="F548" s="517" t="s">
        <v>1</v>
      </c>
      <c r="G548" s="517"/>
      <c r="H548" s="367" t="s">
        <v>3</v>
      </c>
      <c r="I548" s="366" t="s">
        <v>184</v>
      </c>
      <c r="J548" s="366" t="s">
        <v>1426</v>
      </c>
      <c r="K548" s="366" t="s">
        <v>185</v>
      </c>
      <c r="L548" s="366" t="s">
        <v>4</v>
      </c>
    </row>
    <row r="549" spans="2:12" ht="51" x14ac:dyDescent="0.25">
      <c r="B549" s="421" t="s">
        <v>7</v>
      </c>
      <c r="C549" s="368" t="s">
        <v>1239</v>
      </c>
      <c r="D549" s="421" t="s">
        <v>124</v>
      </c>
      <c r="E549" s="421" t="s">
        <v>1240</v>
      </c>
      <c r="F549" s="518" t="s">
        <v>1122</v>
      </c>
      <c r="G549" s="518"/>
      <c r="H549" s="369" t="s">
        <v>22</v>
      </c>
      <c r="I549" s="370">
        <v>1</v>
      </c>
      <c r="J549" s="371"/>
      <c r="K549" s="371">
        <v>39.840000000000003</v>
      </c>
      <c r="L549" s="371">
        <v>39.840000000000003</v>
      </c>
    </row>
    <row r="550" spans="2:12" ht="38.25" x14ac:dyDescent="0.25">
      <c r="B550" s="422" t="s">
        <v>187</v>
      </c>
      <c r="C550" s="372" t="s">
        <v>218</v>
      </c>
      <c r="D550" s="422" t="s">
        <v>31</v>
      </c>
      <c r="E550" s="422" t="s">
        <v>219</v>
      </c>
      <c r="F550" s="519" t="s">
        <v>186</v>
      </c>
      <c r="G550" s="519"/>
      <c r="H550" s="373" t="s">
        <v>32</v>
      </c>
      <c r="I550" s="374">
        <v>0.50900000000000001</v>
      </c>
      <c r="J550" s="374"/>
      <c r="K550" s="375">
        <v>22.58</v>
      </c>
      <c r="L550" s="375">
        <v>11.49</v>
      </c>
    </row>
    <row r="551" spans="2:12" ht="38.25" x14ac:dyDescent="0.25">
      <c r="B551" s="422" t="s">
        <v>187</v>
      </c>
      <c r="C551" s="372" t="s">
        <v>216</v>
      </c>
      <c r="D551" s="422" t="s">
        <v>31</v>
      </c>
      <c r="E551" s="422" t="s">
        <v>217</v>
      </c>
      <c r="F551" s="519" t="s">
        <v>186</v>
      </c>
      <c r="G551" s="519"/>
      <c r="H551" s="373" t="s">
        <v>32</v>
      </c>
      <c r="I551" s="374">
        <v>0.50900000000000001</v>
      </c>
      <c r="J551" s="374"/>
      <c r="K551" s="375">
        <v>18.48</v>
      </c>
      <c r="L551" s="375">
        <v>9.4</v>
      </c>
    </row>
    <row r="552" spans="2:12" x14ac:dyDescent="0.25">
      <c r="B552" s="423" t="s">
        <v>188</v>
      </c>
      <c r="C552" s="376" t="s">
        <v>1573</v>
      </c>
      <c r="D552" s="423" t="s">
        <v>212</v>
      </c>
      <c r="E552" s="423" t="s">
        <v>1574</v>
      </c>
      <c r="F552" s="515" t="s">
        <v>198</v>
      </c>
      <c r="G552" s="515"/>
      <c r="H552" s="377" t="s">
        <v>22</v>
      </c>
      <c r="I552" s="378">
        <v>1</v>
      </c>
      <c r="J552" s="378"/>
      <c r="K552" s="379">
        <v>18.95</v>
      </c>
      <c r="L552" s="379">
        <v>18.95</v>
      </c>
    </row>
    <row r="553" spans="2:12" ht="15" x14ac:dyDescent="0.25">
      <c r="B553" s="424"/>
      <c r="C553" s="424"/>
      <c r="D553" s="424"/>
      <c r="E553" s="424"/>
      <c r="F553" s="424"/>
      <c r="G553" s="380"/>
      <c r="H553" s="424"/>
      <c r="I553" s="380"/>
      <c r="J553" s="424"/>
      <c r="K553" s="380"/>
      <c r="L553"/>
    </row>
    <row r="554" spans="2:12" ht="15" x14ac:dyDescent="0.25">
      <c r="B554" s="424"/>
      <c r="C554" s="424"/>
      <c r="D554" s="424"/>
      <c r="E554" s="424"/>
      <c r="F554" s="424"/>
      <c r="G554" s="380"/>
      <c r="H554" s="424"/>
      <c r="I554" s="516"/>
      <c r="J554" s="516"/>
      <c r="K554" s="380"/>
      <c r="L554"/>
    </row>
    <row r="555" spans="2:12" ht="15" x14ac:dyDescent="0.25">
      <c r="B555" s="420" t="s">
        <v>1230</v>
      </c>
      <c r="C555" s="366" t="s">
        <v>0</v>
      </c>
      <c r="D555" s="420" t="s">
        <v>183</v>
      </c>
      <c r="E555" s="420" t="s">
        <v>82</v>
      </c>
      <c r="F555" s="517" t="s">
        <v>1</v>
      </c>
      <c r="G555" s="517"/>
      <c r="H555" s="367" t="s">
        <v>3</v>
      </c>
      <c r="I555" s="366" t="s">
        <v>184</v>
      </c>
      <c r="J555" s="366" t="s">
        <v>1426</v>
      </c>
      <c r="K555" s="366" t="s">
        <v>185</v>
      </c>
      <c r="L555" s="366" t="s">
        <v>4</v>
      </c>
    </row>
    <row r="556" spans="2:12" ht="51" x14ac:dyDescent="0.25">
      <c r="B556" s="421" t="s">
        <v>7</v>
      </c>
      <c r="C556" s="368" t="s">
        <v>1241</v>
      </c>
      <c r="D556" s="421" t="s">
        <v>124</v>
      </c>
      <c r="E556" s="421" t="s">
        <v>1242</v>
      </c>
      <c r="F556" s="518" t="s">
        <v>1122</v>
      </c>
      <c r="G556" s="518"/>
      <c r="H556" s="369" t="s">
        <v>22</v>
      </c>
      <c r="I556" s="370">
        <v>1</v>
      </c>
      <c r="J556" s="371"/>
      <c r="K556" s="371">
        <v>35.26</v>
      </c>
      <c r="L556" s="371">
        <v>35.26</v>
      </c>
    </row>
    <row r="557" spans="2:12" ht="38.25" x14ac:dyDescent="0.25">
      <c r="B557" s="422" t="s">
        <v>187</v>
      </c>
      <c r="C557" s="372" t="s">
        <v>218</v>
      </c>
      <c r="D557" s="422" t="s">
        <v>31</v>
      </c>
      <c r="E557" s="422" t="s">
        <v>219</v>
      </c>
      <c r="F557" s="519" t="s">
        <v>186</v>
      </c>
      <c r="G557" s="519"/>
      <c r="H557" s="373" t="s">
        <v>32</v>
      </c>
      <c r="I557" s="374">
        <v>0.50900000000000001</v>
      </c>
      <c r="J557" s="374"/>
      <c r="K557" s="375">
        <v>22.58</v>
      </c>
      <c r="L557" s="375">
        <v>11.49</v>
      </c>
    </row>
    <row r="558" spans="2:12" ht="38.25" x14ac:dyDescent="0.25">
      <c r="B558" s="422" t="s">
        <v>187</v>
      </c>
      <c r="C558" s="372" t="s">
        <v>216</v>
      </c>
      <c r="D558" s="422" t="s">
        <v>31</v>
      </c>
      <c r="E558" s="422" t="s">
        <v>217</v>
      </c>
      <c r="F558" s="519" t="s">
        <v>186</v>
      </c>
      <c r="G558" s="519"/>
      <c r="H558" s="373" t="s">
        <v>32</v>
      </c>
      <c r="I558" s="374">
        <v>0.50900000000000001</v>
      </c>
      <c r="J558" s="374"/>
      <c r="K558" s="375">
        <v>18.48</v>
      </c>
      <c r="L558" s="375">
        <v>9.4</v>
      </c>
    </row>
    <row r="559" spans="2:12" x14ac:dyDescent="0.25">
      <c r="B559" s="423" t="s">
        <v>188</v>
      </c>
      <c r="C559" s="376" t="s">
        <v>1575</v>
      </c>
      <c r="D559" s="423" t="s">
        <v>212</v>
      </c>
      <c r="E559" s="423" t="s">
        <v>1576</v>
      </c>
      <c r="F559" s="515" t="s">
        <v>198</v>
      </c>
      <c r="G559" s="515"/>
      <c r="H559" s="377" t="s">
        <v>22</v>
      </c>
      <c r="I559" s="378">
        <v>1</v>
      </c>
      <c r="J559" s="378"/>
      <c r="K559" s="379">
        <v>14.37</v>
      </c>
      <c r="L559" s="379">
        <v>14.37</v>
      </c>
    </row>
    <row r="560" spans="2:12" ht="15" x14ac:dyDescent="0.25">
      <c r="B560" s="424"/>
      <c r="C560" s="424"/>
      <c r="D560" s="424"/>
      <c r="E560" s="424"/>
      <c r="F560" s="424"/>
      <c r="G560" s="380"/>
      <c r="H560" s="424"/>
      <c r="I560" s="380"/>
      <c r="J560" s="424"/>
      <c r="K560" s="380"/>
      <c r="L560"/>
    </row>
    <row r="561" spans="2:12" ht="15" x14ac:dyDescent="0.25">
      <c r="B561" s="424"/>
      <c r="C561" s="424"/>
      <c r="D561" s="424"/>
      <c r="E561" s="424"/>
      <c r="F561" s="424"/>
      <c r="G561" s="380"/>
      <c r="H561" s="424"/>
      <c r="I561" s="516"/>
      <c r="J561" s="516"/>
      <c r="K561" s="380"/>
      <c r="L561"/>
    </row>
    <row r="562" spans="2:12" ht="15" x14ac:dyDescent="0.25">
      <c r="B562" s="420" t="s">
        <v>914</v>
      </c>
      <c r="C562" s="366" t="s">
        <v>0</v>
      </c>
      <c r="D562" s="420" t="s">
        <v>183</v>
      </c>
      <c r="E562" s="420" t="s">
        <v>82</v>
      </c>
      <c r="F562" s="517" t="s">
        <v>1</v>
      </c>
      <c r="G562" s="517"/>
      <c r="H562" s="367" t="s">
        <v>3</v>
      </c>
      <c r="I562" s="366" t="s">
        <v>184</v>
      </c>
      <c r="J562" s="366" t="s">
        <v>1426</v>
      </c>
      <c r="K562" s="366" t="s">
        <v>185</v>
      </c>
      <c r="L562" s="366" t="s">
        <v>4</v>
      </c>
    </row>
    <row r="563" spans="2:12" ht="25.5" x14ac:dyDescent="0.25">
      <c r="B563" s="421" t="s">
        <v>7</v>
      </c>
      <c r="C563" s="368" t="s">
        <v>1243</v>
      </c>
      <c r="D563" s="421" t="s">
        <v>175</v>
      </c>
      <c r="E563" s="421" t="s">
        <v>1244</v>
      </c>
      <c r="F563" s="518" t="s">
        <v>1141</v>
      </c>
      <c r="G563" s="518"/>
      <c r="H563" s="369" t="s">
        <v>225</v>
      </c>
      <c r="I563" s="370">
        <v>1</v>
      </c>
      <c r="J563" s="371"/>
      <c r="K563" s="371">
        <v>30.57</v>
      </c>
      <c r="L563" s="371">
        <v>30.57</v>
      </c>
    </row>
    <row r="564" spans="2:12" ht="38.25" x14ac:dyDescent="0.25">
      <c r="B564" s="422" t="s">
        <v>187</v>
      </c>
      <c r="C564" s="372" t="s">
        <v>1112</v>
      </c>
      <c r="D564" s="422" t="s">
        <v>175</v>
      </c>
      <c r="E564" s="422" t="s">
        <v>1113</v>
      </c>
      <c r="F564" s="519" t="s">
        <v>1098</v>
      </c>
      <c r="G564" s="519"/>
      <c r="H564" s="373" t="s">
        <v>1099</v>
      </c>
      <c r="I564" s="374">
        <v>0.2</v>
      </c>
      <c r="J564" s="374"/>
      <c r="K564" s="375">
        <v>3.51</v>
      </c>
      <c r="L564" s="375">
        <v>0.7</v>
      </c>
    </row>
    <row r="565" spans="2:12" ht="38.25" x14ac:dyDescent="0.25">
      <c r="B565" s="422" t="s">
        <v>187</v>
      </c>
      <c r="C565" s="372" t="s">
        <v>1096</v>
      </c>
      <c r="D565" s="422" t="s">
        <v>175</v>
      </c>
      <c r="E565" s="422" t="s">
        <v>1097</v>
      </c>
      <c r="F565" s="519" t="s">
        <v>1098</v>
      </c>
      <c r="G565" s="519"/>
      <c r="H565" s="373" t="s">
        <v>1099</v>
      </c>
      <c r="I565" s="374">
        <v>0.2</v>
      </c>
      <c r="J565" s="374"/>
      <c r="K565" s="375">
        <v>3.63</v>
      </c>
      <c r="L565" s="375">
        <v>0.72</v>
      </c>
    </row>
    <row r="566" spans="2:12" ht="38.25" x14ac:dyDescent="0.25">
      <c r="B566" s="423" t="s">
        <v>188</v>
      </c>
      <c r="C566" s="376" t="s">
        <v>1577</v>
      </c>
      <c r="D566" s="423" t="s">
        <v>175</v>
      </c>
      <c r="E566" s="423" t="s">
        <v>1578</v>
      </c>
      <c r="F566" s="515" t="s">
        <v>198</v>
      </c>
      <c r="G566" s="515"/>
      <c r="H566" s="377" t="s">
        <v>225</v>
      </c>
      <c r="I566" s="378">
        <v>1</v>
      </c>
      <c r="J566" s="378"/>
      <c r="K566" s="379">
        <v>23.55</v>
      </c>
      <c r="L566" s="379">
        <v>23.55</v>
      </c>
    </row>
    <row r="567" spans="2:12" ht="38.25" x14ac:dyDescent="0.25">
      <c r="B567" s="423" t="s">
        <v>188</v>
      </c>
      <c r="C567" s="376" t="s">
        <v>222</v>
      </c>
      <c r="D567" s="423" t="s">
        <v>31</v>
      </c>
      <c r="E567" s="423" t="s">
        <v>1114</v>
      </c>
      <c r="F567" s="515" t="s">
        <v>189</v>
      </c>
      <c r="G567" s="515"/>
      <c r="H567" s="377" t="s">
        <v>32</v>
      </c>
      <c r="I567" s="378">
        <v>0.2</v>
      </c>
      <c r="J567" s="378"/>
      <c r="K567" s="379">
        <v>16.39</v>
      </c>
      <c r="L567" s="379">
        <v>3.27</v>
      </c>
    </row>
    <row r="568" spans="2:12" ht="38.25" x14ac:dyDescent="0.25">
      <c r="B568" s="423" t="s">
        <v>188</v>
      </c>
      <c r="C568" s="376" t="s">
        <v>173</v>
      </c>
      <c r="D568" s="423" t="s">
        <v>31</v>
      </c>
      <c r="E568" s="423" t="s">
        <v>47</v>
      </c>
      <c r="F568" s="515" t="s">
        <v>189</v>
      </c>
      <c r="G568" s="515"/>
      <c r="H568" s="377" t="s">
        <v>32</v>
      </c>
      <c r="I568" s="378">
        <v>0.2</v>
      </c>
      <c r="J568" s="378"/>
      <c r="K568" s="379">
        <v>11.67</v>
      </c>
      <c r="L568" s="379">
        <v>2.33</v>
      </c>
    </row>
    <row r="569" spans="2:12" ht="15" x14ac:dyDescent="0.25">
      <c r="B569" s="424"/>
      <c r="C569" s="424"/>
      <c r="D569" s="424"/>
      <c r="E569" s="424"/>
      <c r="F569" s="424"/>
      <c r="G569" s="380"/>
      <c r="H569" s="424"/>
      <c r="I569" s="380"/>
      <c r="J569" s="424"/>
      <c r="K569" s="380"/>
      <c r="L569"/>
    </row>
    <row r="570" spans="2:12" ht="15.75" thickBot="1" x14ac:dyDescent="0.3">
      <c r="B570" s="424"/>
      <c r="C570" s="424"/>
      <c r="D570" s="424"/>
      <c r="E570" s="424"/>
      <c r="F570" s="424"/>
      <c r="G570" s="380"/>
      <c r="H570" s="424"/>
      <c r="I570" s="516"/>
      <c r="J570" s="516"/>
      <c r="K570" s="380"/>
      <c r="L570"/>
    </row>
    <row r="571" spans="2:12" ht="13.5" thickTop="1" x14ac:dyDescent="0.25">
      <c r="B571" s="381"/>
      <c r="C571" s="381"/>
      <c r="D571" s="381"/>
      <c r="E571" s="381"/>
      <c r="F571" s="381"/>
      <c r="G571" s="381"/>
      <c r="H571" s="381"/>
      <c r="I571" s="381"/>
      <c r="J571" s="381"/>
      <c r="K571" s="381"/>
      <c r="L571" s="381"/>
    </row>
    <row r="572" spans="2:12" ht="15" x14ac:dyDescent="0.25">
      <c r="B572" s="420" t="s">
        <v>1231</v>
      </c>
      <c r="C572" s="366" t="s">
        <v>0</v>
      </c>
      <c r="D572" s="420" t="s">
        <v>183</v>
      </c>
      <c r="E572" s="420" t="s">
        <v>82</v>
      </c>
      <c r="F572" s="517" t="s">
        <v>1</v>
      </c>
      <c r="G572" s="517"/>
      <c r="H572" s="367" t="s">
        <v>3</v>
      </c>
      <c r="I572" s="366" t="s">
        <v>184</v>
      </c>
      <c r="J572" s="366" t="s">
        <v>1426</v>
      </c>
      <c r="K572" s="366" t="s">
        <v>185</v>
      </c>
      <c r="L572" s="366" t="s">
        <v>4</v>
      </c>
    </row>
    <row r="573" spans="2:12" ht="25.5" x14ac:dyDescent="0.25">
      <c r="B573" s="421" t="s">
        <v>7</v>
      </c>
      <c r="C573" s="368" t="s">
        <v>1245</v>
      </c>
      <c r="D573" s="421" t="s">
        <v>124</v>
      </c>
      <c r="E573" s="421" t="s">
        <v>1246</v>
      </c>
      <c r="F573" s="518">
        <v>63</v>
      </c>
      <c r="G573" s="518"/>
      <c r="H573" s="369" t="s">
        <v>22</v>
      </c>
      <c r="I573" s="370">
        <v>1</v>
      </c>
      <c r="J573" s="371"/>
      <c r="K573" s="371">
        <v>97.19</v>
      </c>
      <c r="L573" s="371">
        <v>97.19</v>
      </c>
    </row>
    <row r="574" spans="2:12" ht="38.25" x14ac:dyDescent="0.25">
      <c r="B574" s="422" t="s">
        <v>187</v>
      </c>
      <c r="C574" s="372" t="s">
        <v>218</v>
      </c>
      <c r="D574" s="422" t="s">
        <v>31</v>
      </c>
      <c r="E574" s="422" t="s">
        <v>219</v>
      </c>
      <c r="F574" s="519" t="s">
        <v>186</v>
      </c>
      <c r="G574" s="519"/>
      <c r="H574" s="373" t="s">
        <v>32</v>
      </c>
      <c r="I574" s="374">
        <v>0.51400000000000001</v>
      </c>
      <c r="J574" s="374"/>
      <c r="K574" s="375">
        <v>22.58</v>
      </c>
      <c r="L574" s="375">
        <v>11.6</v>
      </c>
    </row>
    <row r="575" spans="2:12" ht="38.25" x14ac:dyDescent="0.25">
      <c r="B575" s="422" t="s">
        <v>187</v>
      </c>
      <c r="C575" s="372" t="s">
        <v>216</v>
      </c>
      <c r="D575" s="422" t="s">
        <v>31</v>
      </c>
      <c r="E575" s="422" t="s">
        <v>217</v>
      </c>
      <c r="F575" s="519" t="s">
        <v>186</v>
      </c>
      <c r="G575" s="519"/>
      <c r="H575" s="373" t="s">
        <v>32</v>
      </c>
      <c r="I575" s="374">
        <v>0.51400000000000001</v>
      </c>
      <c r="J575" s="374"/>
      <c r="K575" s="375">
        <v>18.48</v>
      </c>
      <c r="L575" s="375">
        <v>9.49</v>
      </c>
    </row>
    <row r="576" spans="2:12" x14ac:dyDescent="0.25">
      <c r="B576" s="423" t="s">
        <v>188</v>
      </c>
      <c r="C576" s="376" t="s">
        <v>1579</v>
      </c>
      <c r="D576" s="423" t="s">
        <v>175</v>
      </c>
      <c r="E576" s="423" t="s">
        <v>1580</v>
      </c>
      <c r="F576" s="515" t="s">
        <v>198</v>
      </c>
      <c r="G576" s="515"/>
      <c r="H576" s="377" t="s">
        <v>225</v>
      </c>
      <c r="I576" s="378">
        <v>1</v>
      </c>
      <c r="J576" s="378"/>
      <c r="K576" s="379">
        <v>76.099999999999994</v>
      </c>
      <c r="L576" s="379">
        <v>76.099999999999994</v>
      </c>
    </row>
    <row r="577" spans="2:12" ht="15" x14ac:dyDescent="0.25">
      <c r="B577" s="424"/>
      <c r="C577" s="424"/>
      <c r="D577" s="424"/>
      <c r="E577" s="424"/>
      <c r="F577" s="424"/>
      <c r="G577" s="380"/>
      <c r="H577" s="424"/>
      <c r="I577" s="380"/>
      <c r="J577" s="424"/>
      <c r="K577" s="380"/>
      <c r="L577"/>
    </row>
    <row r="578" spans="2:12" ht="15.75" thickBot="1" x14ac:dyDescent="0.3">
      <c r="B578" s="424"/>
      <c r="C578" s="424"/>
      <c r="D578" s="424"/>
      <c r="E578" s="424"/>
      <c r="F578" s="424"/>
      <c r="G578" s="380"/>
      <c r="H578" s="424"/>
      <c r="I578" s="516"/>
      <c r="J578" s="516"/>
      <c r="K578" s="380"/>
      <c r="L578"/>
    </row>
    <row r="579" spans="2:12" ht="13.5" thickTop="1" x14ac:dyDescent="0.25">
      <c r="B579" s="381"/>
      <c r="C579" s="381"/>
      <c r="D579" s="381"/>
      <c r="E579" s="381"/>
      <c r="F579" s="381"/>
      <c r="G579" s="381"/>
      <c r="H579" s="381"/>
      <c r="I579" s="381"/>
      <c r="J579" s="381"/>
      <c r="K579" s="381"/>
      <c r="L579" s="381"/>
    </row>
    <row r="580" spans="2:12" ht="15" x14ac:dyDescent="0.25">
      <c r="B580" s="420" t="s">
        <v>1232</v>
      </c>
      <c r="C580" s="366" t="s">
        <v>0</v>
      </c>
      <c r="D580" s="420" t="s">
        <v>183</v>
      </c>
      <c r="E580" s="420" t="s">
        <v>82</v>
      </c>
      <c r="F580" s="517" t="s">
        <v>1</v>
      </c>
      <c r="G580" s="517"/>
      <c r="H580" s="367" t="s">
        <v>3</v>
      </c>
      <c r="I580" s="366" t="s">
        <v>184</v>
      </c>
      <c r="J580" s="366" t="s">
        <v>1426</v>
      </c>
      <c r="K580" s="366" t="s">
        <v>185</v>
      </c>
      <c r="L580" s="366" t="s">
        <v>4</v>
      </c>
    </row>
    <row r="581" spans="2:12" ht="25.5" x14ac:dyDescent="0.25">
      <c r="B581" s="421" t="s">
        <v>7</v>
      </c>
      <c r="C581" s="368" t="s">
        <v>1247</v>
      </c>
      <c r="D581" s="421" t="s">
        <v>212</v>
      </c>
      <c r="E581" s="421" t="s">
        <v>1248</v>
      </c>
      <c r="F581" s="518" t="s">
        <v>1286</v>
      </c>
      <c r="G581" s="518"/>
      <c r="H581" s="369" t="s">
        <v>22</v>
      </c>
      <c r="I581" s="370">
        <v>1</v>
      </c>
      <c r="J581" s="371"/>
      <c r="K581" s="371">
        <v>53.11</v>
      </c>
      <c r="L581" s="371">
        <v>53.11</v>
      </c>
    </row>
    <row r="582" spans="2:12" ht="38.25" x14ac:dyDescent="0.25">
      <c r="B582" s="422" t="s">
        <v>187</v>
      </c>
      <c r="C582" s="372" t="s">
        <v>218</v>
      </c>
      <c r="D582" s="422" t="s">
        <v>31</v>
      </c>
      <c r="E582" s="422" t="s">
        <v>219</v>
      </c>
      <c r="F582" s="519" t="s">
        <v>186</v>
      </c>
      <c r="G582" s="519"/>
      <c r="H582" s="373" t="s">
        <v>32</v>
      </c>
      <c r="I582" s="374">
        <v>0.52500000000000002</v>
      </c>
      <c r="J582" s="374"/>
      <c r="K582" s="375">
        <v>22.58</v>
      </c>
      <c r="L582" s="375">
        <v>11.85</v>
      </c>
    </row>
    <row r="583" spans="2:12" ht="38.25" x14ac:dyDescent="0.25">
      <c r="B583" s="422" t="s">
        <v>187</v>
      </c>
      <c r="C583" s="372" t="s">
        <v>216</v>
      </c>
      <c r="D583" s="422" t="s">
        <v>31</v>
      </c>
      <c r="E583" s="422" t="s">
        <v>217</v>
      </c>
      <c r="F583" s="519" t="s">
        <v>186</v>
      </c>
      <c r="G583" s="519"/>
      <c r="H583" s="373" t="s">
        <v>32</v>
      </c>
      <c r="I583" s="374">
        <v>0.52500000000000002</v>
      </c>
      <c r="J583" s="374"/>
      <c r="K583" s="375">
        <v>18.48</v>
      </c>
      <c r="L583" s="375">
        <v>9.6999999999999993</v>
      </c>
    </row>
    <row r="584" spans="2:12" x14ac:dyDescent="0.25">
      <c r="B584" s="423" t="s">
        <v>188</v>
      </c>
      <c r="C584" s="376" t="s">
        <v>1581</v>
      </c>
      <c r="D584" s="423" t="s">
        <v>212</v>
      </c>
      <c r="E584" s="423" t="s">
        <v>1582</v>
      </c>
      <c r="F584" s="515" t="s">
        <v>198</v>
      </c>
      <c r="G584" s="515"/>
      <c r="H584" s="377" t="s">
        <v>22</v>
      </c>
      <c r="I584" s="378">
        <v>1</v>
      </c>
      <c r="J584" s="378"/>
      <c r="K584" s="379">
        <v>31.56</v>
      </c>
      <c r="L584" s="379">
        <v>31.56</v>
      </c>
    </row>
    <row r="585" spans="2:12" ht="15" x14ac:dyDescent="0.25">
      <c r="B585" s="424"/>
      <c r="C585" s="424"/>
      <c r="D585" s="424"/>
      <c r="E585" s="424"/>
      <c r="F585" s="424"/>
      <c r="G585" s="380"/>
      <c r="H585" s="424"/>
      <c r="I585" s="380"/>
      <c r="J585" s="424"/>
      <c r="K585" s="380"/>
      <c r="L585"/>
    </row>
    <row r="586" spans="2:12" ht="15.75" thickBot="1" x14ac:dyDescent="0.3">
      <c r="B586" s="424"/>
      <c r="C586" s="424"/>
      <c r="D586" s="424"/>
      <c r="E586" s="424"/>
      <c r="F586" s="424"/>
      <c r="G586" s="380"/>
      <c r="H586" s="424"/>
      <c r="I586" s="516"/>
      <c r="J586" s="516"/>
      <c r="K586" s="380"/>
      <c r="L586"/>
    </row>
    <row r="587" spans="2:12" ht="13.5" thickTop="1" x14ac:dyDescent="0.25">
      <c r="B587" s="381"/>
      <c r="C587" s="381"/>
      <c r="D587" s="381"/>
      <c r="E587" s="381"/>
      <c r="F587" s="381"/>
      <c r="G587" s="381"/>
      <c r="H587" s="381"/>
      <c r="I587" s="381"/>
      <c r="J587" s="381"/>
      <c r="K587" s="381"/>
      <c r="L587" s="381"/>
    </row>
    <row r="588" spans="2:12" ht="15" x14ac:dyDescent="0.25">
      <c r="B588" s="420" t="s">
        <v>1233</v>
      </c>
      <c r="C588" s="366" t="s">
        <v>0</v>
      </c>
      <c r="D588" s="420" t="s">
        <v>183</v>
      </c>
      <c r="E588" s="420" t="s">
        <v>82</v>
      </c>
      <c r="F588" s="517" t="s">
        <v>1</v>
      </c>
      <c r="G588" s="517"/>
      <c r="H588" s="367" t="s">
        <v>3</v>
      </c>
      <c r="I588" s="366" t="s">
        <v>184</v>
      </c>
      <c r="J588" s="366" t="s">
        <v>1426</v>
      </c>
      <c r="K588" s="366" t="s">
        <v>185</v>
      </c>
      <c r="L588" s="366" t="s">
        <v>4</v>
      </c>
    </row>
    <row r="589" spans="2:12" ht="25.5" x14ac:dyDescent="0.25">
      <c r="B589" s="421" t="s">
        <v>7</v>
      </c>
      <c r="C589" s="368" t="s">
        <v>1249</v>
      </c>
      <c r="D589" s="421" t="s">
        <v>175</v>
      </c>
      <c r="E589" s="421" t="s">
        <v>1250</v>
      </c>
      <c r="F589" s="518" t="s">
        <v>1141</v>
      </c>
      <c r="G589" s="518"/>
      <c r="H589" s="369" t="s">
        <v>225</v>
      </c>
      <c r="I589" s="370">
        <v>1</v>
      </c>
      <c r="J589" s="371"/>
      <c r="K589" s="371">
        <v>17.02</v>
      </c>
      <c r="L589" s="371">
        <v>17.02</v>
      </c>
    </row>
    <row r="590" spans="2:12" ht="38.25" x14ac:dyDescent="0.25">
      <c r="B590" s="422" t="s">
        <v>187</v>
      </c>
      <c r="C590" s="372" t="s">
        <v>1112</v>
      </c>
      <c r="D590" s="422" t="s">
        <v>175</v>
      </c>
      <c r="E590" s="422" t="s">
        <v>1113</v>
      </c>
      <c r="F590" s="519" t="s">
        <v>1098</v>
      </c>
      <c r="G590" s="519"/>
      <c r="H590" s="373" t="s">
        <v>1099</v>
      </c>
      <c r="I590" s="374">
        <v>0.2</v>
      </c>
      <c r="J590" s="374"/>
      <c r="K590" s="375">
        <v>3.51</v>
      </c>
      <c r="L590" s="375">
        <v>0.7</v>
      </c>
    </row>
    <row r="591" spans="2:12" ht="38.25" x14ac:dyDescent="0.25">
      <c r="B591" s="422" t="s">
        <v>187</v>
      </c>
      <c r="C591" s="372" t="s">
        <v>1096</v>
      </c>
      <c r="D591" s="422" t="s">
        <v>175</v>
      </c>
      <c r="E591" s="422" t="s">
        <v>1097</v>
      </c>
      <c r="F591" s="519" t="s">
        <v>1098</v>
      </c>
      <c r="G591" s="519"/>
      <c r="H591" s="373" t="s">
        <v>1099</v>
      </c>
      <c r="I591" s="374">
        <v>0.2</v>
      </c>
      <c r="J591" s="374"/>
      <c r="K591" s="375">
        <v>3.63</v>
      </c>
      <c r="L591" s="375">
        <v>0.72</v>
      </c>
    </row>
    <row r="592" spans="2:12" ht="25.5" x14ac:dyDescent="0.25">
      <c r="B592" s="423" t="s">
        <v>188</v>
      </c>
      <c r="C592" s="376" t="s">
        <v>1583</v>
      </c>
      <c r="D592" s="423" t="s">
        <v>175</v>
      </c>
      <c r="E592" s="423" t="s">
        <v>1250</v>
      </c>
      <c r="F592" s="515" t="s">
        <v>198</v>
      </c>
      <c r="G592" s="515"/>
      <c r="H592" s="377" t="s">
        <v>225</v>
      </c>
      <c r="I592" s="378">
        <v>1</v>
      </c>
      <c r="J592" s="378"/>
      <c r="K592" s="379">
        <v>10</v>
      </c>
      <c r="L592" s="379">
        <v>10</v>
      </c>
    </row>
    <row r="593" spans="2:12" ht="38.25" x14ac:dyDescent="0.25">
      <c r="B593" s="423" t="s">
        <v>188</v>
      </c>
      <c r="C593" s="376" t="s">
        <v>222</v>
      </c>
      <c r="D593" s="423" t="s">
        <v>31</v>
      </c>
      <c r="E593" s="423" t="s">
        <v>1114</v>
      </c>
      <c r="F593" s="515" t="s">
        <v>189</v>
      </c>
      <c r="G593" s="515"/>
      <c r="H593" s="377" t="s">
        <v>32</v>
      </c>
      <c r="I593" s="378">
        <v>0.2</v>
      </c>
      <c r="J593" s="378"/>
      <c r="K593" s="379">
        <v>16.39</v>
      </c>
      <c r="L593" s="379">
        <v>3.27</v>
      </c>
    </row>
    <row r="594" spans="2:12" ht="38.25" x14ac:dyDescent="0.25">
      <c r="B594" s="423" t="s">
        <v>188</v>
      </c>
      <c r="C594" s="376" t="s">
        <v>173</v>
      </c>
      <c r="D594" s="423" t="s">
        <v>31</v>
      </c>
      <c r="E594" s="423" t="s">
        <v>47</v>
      </c>
      <c r="F594" s="515" t="s">
        <v>189</v>
      </c>
      <c r="G594" s="515"/>
      <c r="H594" s="377" t="s">
        <v>32</v>
      </c>
      <c r="I594" s="378">
        <v>0.2</v>
      </c>
      <c r="J594" s="378"/>
      <c r="K594" s="379">
        <v>11.67</v>
      </c>
      <c r="L594" s="379">
        <v>2.33</v>
      </c>
    </row>
    <row r="595" spans="2:12" ht="15" x14ac:dyDescent="0.25">
      <c r="B595" s="424"/>
      <c r="C595" s="424"/>
      <c r="D595" s="424"/>
      <c r="E595" s="424"/>
      <c r="F595" s="424"/>
      <c r="G595" s="380"/>
      <c r="H595" s="424"/>
      <c r="I595" s="380"/>
      <c r="J595" s="424"/>
      <c r="K595" s="380"/>
      <c r="L595"/>
    </row>
    <row r="596" spans="2:12" ht="15" x14ac:dyDescent="0.25">
      <c r="B596" s="424"/>
      <c r="C596" s="424"/>
      <c r="D596" s="424"/>
      <c r="E596" s="424"/>
      <c r="F596" s="424"/>
      <c r="G596" s="380"/>
      <c r="H596" s="424"/>
      <c r="I596" s="516"/>
      <c r="J596" s="516"/>
      <c r="K596" s="380"/>
      <c r="L596"/>
    </row>
    <row r="597" spans="2:12" ht="15" x14ac:dyDescent="0.25">
      <c r="B597" s="420" t="s">
        <v>1362</v>
      </c>
      <c r="C597" s="366" t="s">
        <v>0</v>
      </c>
      <c r="D597" s="420" t="s">
        <v>183</v>
      </c>
      <c r="E597" s="420" t="s">
        <v>82</v>
      </c>
      <c r="F597" s="517" t="s">
        <v>1</v>
      </c>
      <c r="G597" s="517"/>
      <c r="H597" s="367" t="s">
        <v>3</v>
      </c>
      <c r="I597" s="366" t="s">
        <v>184</v>
      </c>
      <c r="J597" s="366" t="s">
        <v>1426</v>
      </c>
      <c r="K597" s="366" t="s">
        <v>185</v>
      </c>
      <c r="L597" s="366" t="s">
        <v>4</v>
      </c>
    </row>
    <row r="598" spans="2:12" ht="38.25" x14ac:dyDescent="0.25">
      <c r="B598" s="421" t="s">
        <v>7</v>
      </c>
      <c r="C598" s="368" t="s">
        <v>1208</v>
      </c>
      <c r="D598" s="421" t="s">
        <v>264</v>
      </c>
      <c r="E598" s="421" t="s">
        <v>1209</v>
      </c>
      <c r="F598" s="518">
        <v>38.22</v>
      </c>
      <c r="G598" s="518"/>
      <c r="H598" s="369" t="s">
        <v>35</v>
      </c>
      <c r="I598" s="370">
        <v>1</v>
      </c>
      <c r="J598" s="371"/>
      <c r="K598" s="371">
        <v>52.67</v>
      </c>
      <c r="L598" s="371">
        <v>52.67</v>
      </c>
    </row>
    <row r="599" spans="2:12" ht="38.25" x14ac:dyDescent="0.25">
      <c r="B599" s="423" t="s">
        <v>188</v>
      </c>
      <c r="C599" s="376" t="s">
        <v>1115</v>
      </c>
      <c r="D599" s="423" t="s">
        <v>264</v>
      </c>
      <c r="E599" s="423" t="s">
        <v>1116</v>
      </c>
      <c r="F599" s="515" t="s">
        <v>189</v>
      </c>
      <c r="G599" s="515"/>
      <c r="H599" s="377" t="s">
        <v>32</v>
      </c>
      <c r="I599" s="378">
        <v>0.05</v>
      </c>
      <c r="J599" s="378"/>
      <c r="K599" s="379">
        <v>25.22</v>
      </c>
      <c r="L599" s="379">
        <v>1.26</v>
      </c>
    </row>
    <row r="600" spans="2:12" ht="38.25" x14ac:dyDescent="0.25">
      <c r="B600" s="423" t="s">
        <v>188</v>
      </c>
      <c r="C600" s="376" t="s">
        <v>1117</v>
      </c>
      <c r="D600" s="423" t="s">
        <v>264</v>
      </c>
      <c r="E600" s="423" t="s">
        <v>1118</v>
      </c>
      <c r="F600" s="515" t="s">
        <v>189</v>
      </c>
      <c r="G600" s="515"/>
      <c r="H600" s="377" t="s">
        <v>32</v>
      </c>
      <c r="I600" s="378">
        <v>0.05</v>
      </c>
      <c r="J600" s="378"/>
      <c r="K600" s="379">
        <v>16.739999999999998</v>
      </c>
      <c r="L600" s="379">
        <v>0.83</v>
      </c>
    </row>
    <row r="601" spans="2:12" ht="38.25" x14ac:dyDescent="0.25">
      <c r="B601" s="423" t="s">
        <v>188</v>
      </c>
      <c r="C601" s="376" t="s">
        <v>1297</v>
      </c>
      <c r="D601" s="423" t="s">
        <v>264</v>
      </c>
      <c r="E601" s="423" t="s">
        <v>1298</v>
      </c>
      <c r="F601" s="515" t="s">
        <v>198</v>
      </c>
      <c r="G601" s="515"/>
      <c r="H601" s="377" t="s">
        <v>35</v>
      </c>
      <c r="I601" s="378">
        <v>1.3</v>
      </c>
      <c r="J601" s="378"/>
      <c r="K601" s="379">
        <v>38.909999999999997</v>
      </c>
      <c r="L601" s="379">
        <v>50.58</v>
      </c>
    </row>
    <row r="602" spans="2:12" ht="15" x14ac:dyDescent="0.25">
      <c r="B602" s="424"/>
      <c r="C602" s="424"/>
      <c r="D602" s="424"/>
      <c r="E602" s="424"/>
      <c r="F602" s="424"/>
      <c r="G602" s="380"/>
      <c r="H602" s="424"/>
      <c r="I602" s="380"/>
      <c r="J602" s="424"/>
      <c r="K602" s="380"/>
      <c r="L602"/>
    </row>
    <row r="603" spans="2:12" ht="15" x14ac:dyDescent="0.25">
      <c r="B603" s="424"/>
      <c r="C603" s="424"/>
      <c r="D603" s="424"/>
      <c r="E603" s="424"/>
      <c r="F603" s="424"/>
      <c r="G603" s="380"/>
      <c r="H603" s="424"/>
      <c r="I603" s="516"/>
      <c r="J603" s="516"/>
      <c r="K603" s="380"/>
      <c r="L603"/>
    </row>
    <row r="604" spans="2:12" ht="15.75" thickBot="1" x14ac:dyDescent="0.3">
      <c r="B604" s="424"/>
      <c r="C604" s="424"/>
      <c r="D604" s="424"/>
      <c r="E604" s="424"/>
      <c r="F604" s="424"/>
      <c r="G604" s="380"/>
      <c r="H604" s="424"/>
      <c r="I604" s="516"/>
      <c r="J604" s="516"/>
      <c r="K604" s="380"/>
      <c r="L604"/>
    </row>
    <row r="605" spans="2:12" ht="13.5" thickTop="1" x14ac:dyDescent="0.25">
      <c r="B605" s="381"/>
      <c r="C605" s="381"/>
      <c r="D605" s="381"/>
      <c r="E605" s="381"/>
      <c r="F605" s="381"/>
      <c r="G605" s="381"/>
      <c r="H605" s="381"/>
      <c r="I605" s="381"/>
      <c r="J605" s="381"/>
      <c r="K605" s="381"/>
      <c r="L605" s="381"/>
    </row>
    <row r="606" spans="2:12" ht="15" x14ac:dyDescent="0.25">
      <c r="B606" s="420" t="s">
        <v>1234</v>
      </c>
      <c r="C606" s="366" t="s">
        <v>0</v>
      </c>
      <c r="D606" s="420" t="s">
        <v>183</v>
      </c>
      <c r="E606" s="420" t="s">
        <v>82</v>
      </c>
      <c r="F606" s="517" t="s">
        <v>1</v>
      </c>
      <c r="G606" s="517"/>
      <c r="H606" s="367" t="s">
        <v>3</v>
      </c>
      <c r="I606" s="366" t="s">
        <v>184</v>
      </c>
      <c r="J606" s="366" t="s">
        <v>1426</v>
      </c>
      <c r="K606" s="366" t="s">
        <v>185</v>
      </c>
      <c r="L606" s="366" t="s">
        <v>4</v>
      </c>
    </row>
    <row r="607" spans="2:12" ht="25.5" x14ac:dyDescent="0.25">
      <c r="B607" s="421" t="s">
        <v>7</v>
      </c>
      <c r="C607" s="368" t="s">
        <v>1210</v>
      </c>
      <c r="D607" s="421" t="s">
        <v>842</v>
      </c>
      <c r="E607" s="421" t="s">
        <v>1211</v>
      </c>
      <c r="F607" s="518" t="s">
        <v>1119</v>
      </c>
      <c r="G607" s="518"/>
      <c r="H607" s="369" t="s">
        <v>22</v>
      </c>
      <c r="I607" s="370">
        <v>1</v>
      </c>
      <c r="J607" s="371"/>
      <c r="K607" s="371">
        <v>8.7899999999999991</v>
      </c>
      <c r="L607" s="371">
        <v>8.7899999999999991</v>
      </c>
    </row>
    <row r="608" spans="2:12" ht="25.5" x14ac:dyDescent="0.25">
      <c r="B608" s="423" t="s">
        <v>188</v>
      </c>
      <c r="C608" s="376" t="s">
        <v>1065</v>
      </c>
      <c r="D608" s="423" t="s">
        <v>842</v>
      </c>
      <c r="E608" s="423" t="s">
        <v>1066</v>
      </c>
      <c r="F608" s="515" t="s">
        <v>189</v>
      </c>
      <c r="G608" s="515"/>
      <c r="H608" s="377" t="s">
        <v>32</v>
      </c>
      <c r="I608" s="378">
        <v>0.1</v>
      </c>
      <c r="J608" s="378"/>
      <c r="K608" s="379">
        <v>15.53</v>
      </c>
      <c r="L608" s="379">
        <v>1.55</v>
      </c>
    </row>
    <row r="609" spans="2:12" ht="25.5" x14ac:dyDescent="0.25">
      <c r="B609" s="423" t="s">
        <v>188</v>
      </c>
      <c r="C609" s="376" t="s">
        <v>1067</v>
      </c>
      <c r="D609" s="423" t="s">
        <v>842</v>
      </c>
      <c r="E609" s="423" t="s">
        <v>223</v>
      </c>
      <c r="F609" s="515" t="s">
        <v>189</v>
      </c>
      <c r="G609" s="515"/>
      <c r="H609" s="377" t="s">
        <v>32</v>
      </c>
      <c r="I609" s="378">
        <v>0.1</v>
      </c>
      <c r="J609" s="378"/>
      <c r="K609" s="379">
        <v>22.11</v>
      </c>
      <c r="L609" s="379">
        <v>2.21</v>
      </c>
    </row>
    <row r="610" spans="2:12" ht="25.5" x14ac:dyDescent="0.25">
      <c r="B610" s="423" t="s">
        <v>188</v>
      </c>
      <c r="C610" s="376" t="s">
        <v>1070</v>
      </c>
      <c r="D610" s="423" t="s">
        <v>842</v>
      </c>
      <c r="E610" s="423" t="s">
        <v>1071</v>
      </c>
      <c r="F610" s="515" t="s">
        <v>198</v>
      </c>
      <c r="G610" s="515"/>
      <c r="H610" s="377" t="s">
        <v>22</v>
      </c>
      <c r="I610" s="378">
        <v>2</v>
      </c>
      <c r="J610" s="378"/>
      <c r="K610" s="379">
        <v>0.22</v>
      </c>
      <c r="L610" s="379">
        <v>0.44</v>
      </c>
    </row>
    <row r="611" spans="2:12" ht="25.5" x14ac:dyDescent="0.25">
      <c r="B611" s="423" t="s">
        <v>188</v>
      </c>
      <c r="C611" s="376" t="s">
        <v>1299</v>
      </c>
      <c r="D611" s="423" t="s">
        <v>842</v>
      </c>
      <c r="E611" s="423" t="s">
        <v>1300</v>
      </c>
      <c r="F611" s="515" t="s">
        <v>198</v>
      </c>
      <c r="G611" s="515"/>
      <c r="H611" s="377" t="s">
        <v>22</v>
      </c>
      <c r="I611" s="378">
        <v>1</v>
      </c>
      <c r="J611" s="378"/>
      <c r="K611" s="379">
        <v>3.79</v>
      </c>
      <c r="L611" s="379">
        <v>3.79</v>
      </c>
    </row>
    <row r="612" spans="2:12" ht="25.5" x14ac:dyDescent="0.25">
      <c r="B612" s="423" t="s">
        <v>188</v>
      </c>
      <c r="C612" s="376" t="s">
        <v>1291</v>
      </c>
      <c r="D612" s="423" t="s">
        <v>842</v>
      </c>
      <c r="E612" s="423" t="s">
        <v>1292</v>
      </c>
      <c r="F612" s="515" t="s">
        <v>198</v>
      </c>
      <c r="G612" s="515"/>
      <c r="H612" s="377" t="s">
        <v>22</v>
      </c>
      <c r="I612" s="378">
        <v>2</v>
      </c>
      <c r="J612" s="378"/>
      <c r="K612" s="379">
        <v>0.33</v>
      </c>
      <c r="L612" s="379">
        <v>0.66</v>
      </c>
    </row>
    <row r="613" spans="2:12" ht="25.5" x14ac:dyDescent="0.25">
      <c r="B613" s="423" t="s">
        <v>188</v>
      </c>
      <c r="C613" s="376" t="s">
        <v>1074</v>
      </c>
      <c r="D613" s="423" t="s">
        <v>842</v>
      </c>
      <c r="E613" s="423" t="s">
        <v>1075</v>
      </c>
      <c r="F613" s="515" t="s">
        <v>198</v>
      </c>
      <c r="G613" s="515"/>
      <c r="H613" s="377" t="s">
        <v>22</v>
      </c>
      <c r="I613" s="378">
        <v>2</v>
      </c>
      <c r="J613" s="378"/>
      <c r="K613" s="379">
        <v>7.0000000000000007E-2</v>
      </c>
      <c r="L613" s="379">
        <v>0.14000000000000001</v>
      </c>
    </row>
    <row r="614" spans="2:12" ht="15" x14ac:dyDescent="0.25">
      <c r="B614" s="424"/>
      <c r="C614" s="424"/>
      <c r="D614" s="424"/>
      <c r="E614" s="424"/>
      <c r="F614" s="424"/>
      <c r="G614" s="380"/>
      <c r="H614" s="424"/>
      <c r="I614" s="380"/>
      <c r="J614" s="424"/>
      <c r="K614" s="380"/>
      <c r="L614"/>
    </row>
    <row r="615" spans="2:12" ht="15.75" thickBot="1" x14ac:dyDescent="0.3">
      <c r="B615" s="424"/>
      <c r="C615" s="424"/>
      <c r="D615" s="424"/>
      <c r="E615" s="424"/>
      <c r="F615" s="424"/>
      <c r="G615" s="380"/>
      <c r="H615" s="424"/>
      <c r="I615" s="516"/>
      <c r="J615" s="516"/>
      <c r="K615" s="380"/>
      <c r="L615"/>
    </row>
    <row r="616" spans="2:12" ht="13.5" thickTop="1" x14ac:dyDescent="0.25">
      <c r="B616" s="381"/>
      <c r="C616" s="381"/>
      <c r="D616" s="381"/>
      <c r="E616" s="381"/>
      <c r="F616" s="381"/>
      <c r="G616" s="381"/>
      <c r="H616" s="381"/>
      <c r="I616" s="381"/>
      <c r="J616" s="381"/>
      <c r="K616" s="381"/>
      <c r="L616" s="381"/>
    </row>
    <row r="617" spans="2:12" ht="15" x14ac:dyDescent="0.25">
      <c r="B617" s="420" t="s">
        <v>1235</v>
      </c>
      <c r="C617" s="366" t="s">
        <v>0</v>
      </c>
      <c r="D617" s="420" t="s">
        <v>183</v>
      </c>
      <c r="E617" s="420" t="s">
        <v>82</v>
      </c>
      <c r="F617" s="517" t="s">
        <v>1</v>
      </c>
      <c r="G617" s="517"/>
      <c r="H617" s="367" t="s">
        <v>3</v>
      </c>
      <c r="I617" s="366" t="s">
        <v>184</v>
      </c>
      <c r="J617" s="366" t="s">
        <v>1426</v>
      </c>
      <c r="K617" s="366" t="s">
        <v>185</v>
      </c>
      <c r="L617" s="366" t="s">
        <v>4</v>
      </c>
    </row>
    <row r="618" spans="2:12" ht="25.5" x14ac:dyDescent="0.25">
      <c r="B618" s="421" t="s">
        <v>7</v>
      </c>
      <c r="C618" s="368" t="s">
        <v>1253</v>
      </c>
      <c r="D618" s="421" t="s">
        <v>212</v>
      </c>
      <c r="E618" s="421" t="s">
        <v>1254</v>
      </c>
      <c r="F618" s="518" t="s">
        <v>1286</v>
      </c>
      <c r="G618" s="518"/>
      <c r="H618" s="369" t="s">
        <v>22</v>
      </c>
      <c r="I618" s="370">
        <v>1</v>
      </c>
      <c r="J618" s="371"/>
      <c r="K618" s="371">
        <v>19.489999999999998</v>
      </c>
      <c r="L618" s="371">
        <v>142.5</v>
      </c>
    </row>
    <row r="619" spans="2:12" ht="38.25" x14ac:dyDescent="0.25">
      <c r="B619" s="422" t="s">
        <v>187</v>
      </c>
      <c r="C619" s="372" t="s">
        <v>216</v>
      </c>
      <c r="D619" s="422" t="s">
        <v>31</v>
      </c>
      <c r="E619" s="422" t="s">
        <v>217</v>
      </c>
      <c r="F619" s="519" t="s">
        <v>186</v>
      </c>
      <c r="G619" s="519"/>
      <c r="H619" s="373" t="s">
        <v>32</v>
      </c>
      <c r="I619" s="374">
        <v>0.372</v>
      </c>
      <c r="J619" s="374"/>
      <c r="K619" s="375">
        <v>18.48</v>
      </c>
      <c r="L619" s="379">
        <v>18.91</v>
      </c>
    </row>
    <row r="620" spans="2:12" ht="38.25" x14ac:dyDescent="0.25">
      <c r="B620" s="422" t="s">
        <v>187</v>
      </c>
      <c r="C620" s="372" t="s">
        <v>218</v>
      </c>
      <c r="D620" s="422" t="s">
        <v>31</v>
      </c>
      <c r="E620" s="422" t="s">
        <v>219</v>
      </c>
      <c r="F620" s="519" t="s">
        <v>186</v>
      </c>
      <c r="G620" s="519"/>
      <c r="H620" s="373" t="s">
        <v>32</v>
      </c>
      <c r="I620" s="374">
        <v>0.372</v>
      </c>
      <c r="J620" s="374"/>
      <c r="K620" s="375">
        <v>22.58</v>
      </c>
      <c r="L620" s="379">
        <v>12.55</v>
      </c>
    </row>
    <row r="621" spans="2:12" x14ac:dyDescent="0.25">
      <c r="B621" s="423" t="s">
        <v>188</v>
      </c>
      <c r="C621" s="376" t="s">
        <v>1584</v>
      </c>
      <c r="D621" s="423" t="s">
        <v>212</v>
      </c>
      <c r="E621" s="423" t="s">
        <v>1585</v>
      </c>
      <c r="F621" s="515" t="s">
        <v>198</v>
      </c>
      <c r="G621" s="515"/>
      <c r="H621" s="377" t="s">
        <v>22</v>
      </c>
      <c r="I621" s="378">
        <v>1</v>
      </c>
      <c r="J621" s="378"/>
      <c r="K621" s="379">
        <v>4.2300000000000004</v>
      </c>
      <c r="L621" s="379">
        <v>111.04</v>
      </c>
    </row>
    <row r="622" spans="2:12" ht="15" x14ac:dyDescent="0.25">
      <c r="B622" s="424"/>
      <c r="C622" s="424"/>
      <c r="D622" s="424"/>
      <c r="E622" s="424"/>
      <c r="F622" s="424"/>
      <c r="G622" s="380"/>
      <c r="H622" s="424"/>
      <c r="I622" s="380"/>
      <c r="J622" s="424"/>
      <c r="K622" s="380"/>
      <c r="L622"/>
    </row>
    <row r="623" spans="2:12" ht="15" x14ac:dyDescent="0.25">
      <c r="B623" s="424"/>
      <c r="C623" s="424"/>
      <c r="D623" s="424"/>
      <c r="E623" s="424"/>
      <c r="F623" s="424"/>
      <c r="G623" s="380"/>
      <c r="H623" s="424"/>
      <c r="I623" s="516"/>
      <c r="J623" s="516"/>
      <c r="K623" s="380"/>
      <c r="L623"/>
    </row>
    <row r="624" spans="2:12" ht="15" x14ac:dyDescent="0.25">
      <c r="B624" s="420" t="s">
        <v>1236</v>
      </c>
      <c r="C624" s="366" t="s">
        <v>0</v>
      </c>
      <c r="D624" s="420" t="s">
        <v>183</v>
      </c>
      <c r="E624" s="420" t="s">
        <v>82</v>
      </c>
      <c r="F624" s="517" t="s">
        <v>1</v>
      </c>
      <c r="G624" s="517"/>
      <c r="H624" s="367" t="s">
        <v>3</v>
      </c>
      <c r="I624" s="366" t="s">
        <v>184</v>
      </c>
      <c r="J624" s="366" t="s">
        <v>1426</v>
      </c>
      <c r="K624" s="366" t="s">
        <v>185</v>
      </c>
      <c r="L624" s="366" t="s">
        <v>4</v>
      </c>
    </row>
    <row r="625" spans="2:12" ht="38.25" x14ac:dyDescent="0.25">
      <c r="B625" s="421" t="s">
        <v>7</v>
      </c>
      <c r="C625" s="368" t="s">
        <v>1255</v>
      </c>
      <c r="D625" s="421" t="s">
        <v>264</v>
      </c>
      <c r="E625" s="421" t="s">
        <v>1256</v>
      </c>
      <c r="F625" s="518">
        <v>38.21</v>
      </c>
      <c r="G625" s="518"/>
      <c r="H625" s="369" t="s">
        <v>35</v>
      </c>
      <c r="I625" s="370">
        <v>1</v>
      </c>
      <c r="J625" s="371"/>
      <c r="K625" s="371">
        <v>142.5</v>
      </c>
      <c r="L625" s="371">
        <v>142.5</v>
      </c>
    </row>
    <row r="626" spans="2:12" ht="38.25" x14ac:dyDescent="0.25">
      <c r="B626" s="423" t="s">
        <v>188</v>
      </c>
      <c r="C626" s="376" t="s">
        <v>1115</v>
      </c>
      <c r="D626" s="423" t="s">
        <v>264</v>
      </c>
      <c r="E626" s="423" t="s">
        <v>1116</v>
      </c>
      <c r="F626" s="515" t="s">
        <v>189</v>
      </c>
      <c r="G626" s="515"/>
      <c r="H626" s="377" t="s">
        <v>32</v>
      </c>
      <c r="I626" s="378">
        <v>0.75</v>
      </c>
      <c r="J626" s="378"/>
      <c r="K626" s="379">
        <v>25.22</v>
      </c>
      <c r="L626" s="379">
        <v>18.91</v>
      </c>
    </row>
    <row r="627" spans="2:12" ht="38.25" x14ac:dyDescent="0.25">
      <c r="B627" s="423" t="s">
        <v>188</v>
      </c>
      <c r="C627" s="376" t="s">
        <v>1117</v>
      </c>
      <c r="D627" s="423" t="s">
        <v>264</v>
      </c>
      <c r="E627" s="423" t="s">
        <v>1118</v>
      </c>
      <c r="F627" s="515" t="s">
        <v>189</v>
      </c>
      <c r="G627" s="515"/>
      <c r="H627" s="377" t="s">
        <v>32</v>
      </c>
      <c r="I627" s="378">
        <v>0.75</v>
      </c>
      <c r="J627" s="378"/>
      <c r="K627" s="379">
        <v>16.739999999999998</v>
      </c>
      <c r="L627" s="379">
        <v>12.55</v>
      </c>
    </row>
    <row r="628" spans="2:12" ht="38.25" x14ac:dyDescent="0.25">
      <c r="B628" s="423" t="s">
        <v>188</v>
      </c>
      <c r="C628" s="376" t="s">
        <v>1586</v>
      </c>
      <c r="D628" s="423" t="s">
        <v>264</v>
      </c>
      <c r="E628" s="423" t="s">
        <v>1587</v>
      </c>
      <c r="F628" s="515" t="s">
        <v>198</v>
      </c>
      <c r="G628" s="515"/>
      <c r="H628" s="377" t="s">
        <v>35</v>
      </c>
      <c r="I628" s="378">
        <v>1.3</v>
      </c>
      <c r="J628" s="378"/>
      <c r="K628" s="379">
        <v>85.42</v>
      </c>
      <c r="L628" s="379">
        <v>111.04</v>
      </c>
    </row>
    <row r="629" spans="2:12" ht="15" x14ac:dyDescent="0.25">
      <c r="B629" s="424"/>
      <c r="C629" s="424"/>
      <c r="D629" s="424"/>
      <c r="E629" s="424"/>
      <c r="F629" s="424"/>
      <c r="G629" s="380"/>
      <c r="H629" s="424"/>
      <c r="I629" s="380"/>
      <c r="J629" s="424"/>
      <c r="K629" s="380"/>
      <c r="L629"/>
    </row>
    <row r="630" spans="2:12" ht="15.75" thickBot="1" x14ac:dyDescent="0.3">
      <c r="B630" s="424"/>
      <c r="C630" s="424"/>
      <c r="D630" s="424"/>
      <c r="E630" s="424"/>
      <c r="F630" s="424"/>
      <c r="G630" s="380"/>
      <c r="H630" s="424"/>
      <c r="I630" s="516"/>
      <c r="J630" s="516"/>
      <c r="K630" s="380"/>
      <c r="L630"/>
    </row>
    <row r="631" spans="2:12" ht="13.5" thickTop="1" x14ac:dyDescent="0.25">
      <c r="B631" s="381"/>
      <c r="C631" s="381"/>
      <c r="D631" s="381"/>
      <c r="E631" s="381"/>
      <c r="F631" s="381"/>
      <c r="G631" s="381"/>
      <c r="H631" s="381"/>
      <c r="I631" s="381"/>
      <c r="J631" s="381"/>
      <c r="K631" s="381"/>
      <c r="L631" s="381"/>
    </row>
    <row r="632" spans="2:12" ht="15" x14ac:dyDescent="0.25">
      <c r="B632" s="420" t="s">
        <v>1142</v>
      </c>
      <c r="C632" s="366" t="s">
        <v>0</v>
      </c>
      <c r="D632" s="420" t="s">
        <v>183</v>
      </c>
      <c r="E632" s="420" t="s">
        <v>82</v>
      </c>
      <c r="F632" s="517" t="s">
        <v>1</v>
      </c>
      <c r="G632" s="517"/>
      <c r="H632" s="367" t="s">
        <v>3</v>
      </c>
      <c r="I632" s="366" t="s">
        <v>184</v>
      </c>
      <c r="J632" s="366" t="s">
        <v>1426</v>
      </c>
      <c r="K632" s="366" t="s">
        <v>185</v>
      </c>
      <c r="L632" s="366" t="s">
        <v>4</v>
      </c>
    </row>
    <row r="633" spans="2:12" ht="38.25" x14ac:dyDescent="0.25">
      <c r="B633" s="421" t="s">
        <v>7</v>
      </c>
      <c r="C633" s="368" t="s">
        <v>1487</v>
      </c>
      <c r="D633" s="421" t="s">
        <v>31</v>
      </c>
      <c r="E633" s="421" t="s">
        <v>1363</v>
      </c>
      <c r="F633" s="518" t="s">
        <v>215</v>
      </c>
      <c r="G633" s="518"/>
      <c r="H633" s="369" t="s">
        <v>35</v>
      </c>
      <c r="I633" s="370">
        <v>1</v>
      </c>
      <c r="J633" s="371"/>
      <c r="K633" s="371">
        <v>13.21</v>
      </c>
      <c r="L633" s="371">
        <v>13.21</v>
      </c>
    </row>
    <row r="634" spans="2:12" ht="51" x14ac:dyDescent="0.25">
      <c r="B634" s="422" t="s">
        <v>187</v>
      </c>
      <c r="C634" s="372" t="s">
        <v>1488</v>
      </c>
      <c r="D634" s="422" t="s">
        <v>31</v>
      </c>
      <c r="E634" s="422" t="s">
        <v>1489</v>
      </c>
      <c r="F634" s="519" t="s">
        <v>236</v>
      </c>
      <c r="G634" s="519"/>
      <c r="H634" s="373" t="s">
        <v>35</v>
      </c>
      <c r="I634" s="374">
        <v>1</v>
      </c>
      <c r="J634" s="374"/>
      <c r="K634" s="375">
        <v>2.5499999999999998</v>
      </c>
      <c r="L634" s="375">
        <v>2.5499999999999998</v>
      </c>
    </row>
    <row r="635" spans="2:12" ht="38.25" x14ac:dyDescent="0.25">
      <c r="B635" s="422" t="s">
        <v>187</v>
      </c>
      <c r="C635" s="372" t="s">
        <v>216</v>
      </c>
      <c r="D635" s="422" t="s">
        <v>31</v>
      </c>
      <c r="E635" s="422" t="s">
        <v>217</v>
      </c>
      <c r="F635" s="519" t="s">
        <v>186</v>
      </c>
      <c r="G635" s="519"/>
      <c r="H635" s="373" t="s">
        <v>32</v>
      </c>
      <c r="I635" s="374">
        <v>0.106</v>
      </c>
      <c r="J635" s="374"/>
      <c r="K635" s="375">
        <v>18.48</v>
      </c>
      <c r="L635" s="375">
        <v>1.95</v>
      </c>
    </row>
    <row r="636" spans="2:12" ht="38.25" x14ac:dyDescent="0.25">
      <c r="B636" s="422" t="s">
        <v>187</v>
      </c>
      <c r="C636" s="372" t="s">
        <v>218</v>
      </c>
      <c r="D636" s="422" t="s">
        <v>31</v>
      </c>
      <c r="E636" s="422" t="s">
        <v>219</v>
      </c>
      <c r="F636" s="519" t="s">
        <v>186</v>
      </c>
      <c r="G636" s="519"/>
      <c r="H636" s="373" t="s">
        <v>32</v>
      </c>
      <c r="I636" s="374">
        <v>0.106</v>
      </c>
      <c r="J636" s="374"/>
      <c r="K636" s="375">
        <v>22.58</v>
      </c>
      <c r="L636" s="375">
        <v>2.39</v>
      </c>
    </row>
    <row r="637" spans="2:12" ht="38.25" x14ac:dyDescent="0.25">
      <c r="B637" s="423" t="s">
        <v>188</v>
      </c>
      <c r="C637" s="376" t="s">
        <v>1490</v>
      </c>
      <c r="D637" s="423" t="s">
        <v>31</v>
      </c>
      <c r="E637" s="423" t="s">
        <v>1491</v>
      </c>
      <c r="F637" s="515" t="s">
        <v>198</v>
      </c>
      <c r="G637" s="515"/>
      <c r="H637" s="377" t="s">
        <v>35</v>
      </c>
      <c r="I637" s="378">
        <v>1.0169999999999999</v>
      </c>
      <c r="J637" s="378"/>
      <c r="K637" s="379">
        <v>6.22</v>
      </c>
      <c r="L637" s="379">
        <v>6.32</v>
      </c>
    </row>
    <row r="638" spans="2:12" ht="15" x14ac:dyDescent="0.25">
      <c r="B638" s="424"/>
      <c r="C638" s="424"/>
      <c r="D638" s="424"/>
      <c r="E638" s="424"/>
      <c r="F638" s="424"/>
      <c r="G638" s="380"/>
      <c r="H638" s="424"/>
      <c r="I638" s="380"/>
      <c r="J638" s="424"/>
      <c r="K638" s="380"/>
      <c r="L638"/>
    </row>
    <row r="639" spans="2:12" ht="15.75" thickBot="1" x14ac:dyDescent="0.3">
      <c r="B639" s="424"/>
      <c r="C639" s="424"/>
      <c r="D639" s="424"/>
      <c r="E639" s="424"/>
      <c r="F639" s="424"/>
      <c r="G639" s="380"/>
      <c r="H639" s="424"/>
      <c r="I639" s="516"/>
      <c r="J639" s="516"/>
      <c r="K639" s="380"/>
      <c r="L639"/>
    </row>
    <row r="640" spans="2:12" ht="13.5" thickTop="1" x14ac:dyDescent="0.25">
      <c r="B640" s="381"/>
      <c r="C640" s="381"/>
      <c r="D640" s="381"/>
      <c r="E640" s="381"/>
      <c r="F640" s="381"/>
      <c r="G640" s="381"/>
      <c r="H640" s="381"/>
      <c r="I640" s="381"/>
      <c r="J640" s="381"/>
      <c r="K640" s="381"/>
      <c r="L640" s="381"/>
    </row>
    <row r="641" spans="2:12" ht="15" x14ac:dyDescent="0.25">
      <c r="B641" s="420" t="s">
        <v>1143</v>
      </c>
      <c r="C641" s="366" t="s">
        <v>0</v>
      </c>
      <c r="D641" s="420" t="s">
        <v>183</v>
      </c>
      <c r="E641" s="420" t="s">
        <v>82</v>
      </c>
      <c r="F641" s="517" t="s">
        <v>1</v>
      </c>
      <c r="G641" s="517"/>
      <c r="H641" s="367" t="s">
        <v>3</v>
      </c>
      <c r="I641" s="366" t="s">
        <v>184</v>
      </c>
      <c r="J641" s="366" t="s">
        <v>1426</v>
      </c>
      <c r="K641" s="366" t="s">
        <v>185</v>
      </c>
      <c r="L641" s="366" t="s">
        <v>4</v>
      </c>
    </row>
    <row r="642" spans="2:12" ht="38.25" x14ac:dyDescent="0.25">
      <c r="B642" s="421" t="s">
        <v>7</v>
      </c>
      <c r="C642" s="368" t="s">
        <v>1492</v>
      </c>
      <c r="D642" s="421" t="s">
        <v>31</v>
      </c>
      <c r="E642" s="421" t="s">
        <v>1364</v>
      </c>
      <c r="F642" s="518" t="s">
        <v>215</v>
      </c>
      <c r="G642" s="518"/>
      <c r="H642" s="369" t="s">
        <v>35</v>
      </c>
      <c r="I642" s="370">
        <v>1</v>
      </c>
      <c r="J642" s="371"/>
      <c r="K642" s="371">
        <v>9.9499999999999993</v>
      </c>
      <c r="L642" s="371">
        <v>9.9499999999999993</v>
      </c>
    </row>
    <row r="643" spans="2:12" ht="51" x14ac:dyDescent="0.25">
      <c r="B643" s="422" t="s">
        <v>187</v>
      </c>
      <c r="C643" s="372" t="s">
        <v>1488</v>
      </c>
      <c r="D643" s="422" t="s">
        <v>31</v>
      </c>
      <c r="E643" s="422" t="s">
        <v>1489</v>
      </c>
      <c r="F643" s="519" t="s">
        <v>236</v>
      </c>
      <c r="G643" s="519"/>
      <c r="H643" s="373" t="s">
        <v>35</v>
      </c>
      <c r="I643" s="374">
        <v>1</v>
      </c>
      <c r="J643" s="374"/>
      <c r="K643" s="375">
        <v>2.5499999999999998</v>
      </c>
      <c r="L643" s="375">
        <v>2.5499999999999998</v>
      </c>
    </row>
    <row r="644" spans="2:12" ht="38.25" x14ac:dyDescent="0.25">
      <c r="B644" s="422" t="s">
        <v>187</v>
      </c>
      <c r="C644" s="372" t="s">
        <v>216</v>
      </c>
      <c r="D644" s="422" t="s">
        <v>31</v>
      </c>
      <c r="E644" s="422" t="s">
        <v>217</v>
      </c>
      <c r="F644" s="519" t="s">
        <v>186</v>
      </c>
      <c r="G644" s="519"/>
      <c r="H644" s="373" t="s">
        <v>32</v>
      </c>
      <c r="I644" s="374">
        <v>8.2000000000000003E-2</v>
      </c>
      <c r="J644" s="374"/>
      <c r="K644" s="375">
        <v>18.48</v>
      </c>
      <c r="L644" s="375">
        <v>1.51</v>
      </c>
    </row>
    <row r="645" spans="2:12" ht="38.25" x14ac:dyDescent="0.25">
      <c r="B645" s="422" t="s">
        <v>187</v>
      </c>
      <c r="C645" s="372" t="s">
        <v>218</v>
      </c>
      <c r="D645" s="422" t="s">
        <v>31</v>
      </c>
      <c r="E645" s="422" t="s">
        <v>219</v>
      </c>
      <c r="F645" s="519" t="s">
        <v>186</v>
      </c>
      <c r="G645" s="519"/>
      <c r="H645" s="373" t="s">
        <v>32</v>
      </c>
      <c r="I645" s="374">
        <v>8.2000000000000003E-2</v>
      </c>
      <c r="J645" s="374"/>
      <c r="K645" s="375">
        <v>22.58</v>
      </c>
      <c r="L645" s="375">
        <v>1.85</v>
      </c>
    </row>
    <row r="646" spans="2:12" ht="38.25" x14ac:dyDescent="0.25">
      <c r="B646" s="423" t="s">
        <v>188</v>
      </c>
      <c r="C646" s="376" t="s">
        <v>1493</v>
      </c>
      <c r="D646" s="423" t="s">
        <v>31</v>
      </c>
      <c r="E646" s="423" t="s">
        <v>1494</v>
      </c>
      <c r="F646" s="515" t="s">
        <v>198</v>
      </c>
      <c r="G646" s="515"/>
      <c r="H646" s="377" t="s">
        <v>35</v>
      </c>
      <c r="I646" s="378">
        <v>1.0169999999999999</v>
      </c>
      <c r="J646" s="378"/>
      <c r="K646" s="379">
        <v>3.98</v>
      </c>
      <c r="L646" s="379">
        <v>4.04</v>
      </c>
    </row>
    <row r="647" spans="2:12" ht="15" x14ac:dyDescent="0.25">
      <c r="B647" s="424"/>
      <c r="C647" s="424"/>
      <c r="D647" s="424"/>
      <c r="E647" s="424"/>
      <c r="F647" s="424"/>
      <c r="G647" s="380"/>
      <c r="H647" s="424"/>
      <c r="I647" s="380"/>
      <c r="J647" s="424"/>
      <c r="K647" s="380"/>
      <c r="L647"/>
    </row>
    <row r="648" spans="2:12" ht="15.75" thickBot="1" x14ac:dyDescent="0.3">
      <c r="B648" s="424"/>
      <c r="C648" s="424"/>
      <c r="D648" s="424"/>
      <c r="E648" s="424"/>
      <c r="F648" s="424"/>
      <c r="G648" s="380"/>
      <c r="H648" s="424"/>
      <c r="I648" s="516"/>
      <c r="J648" s="516"/>
      <c r="K648" s="380"/>
      <c r="L648"/>
    </row>
    <row r="649" spans="2:12" ht="13.5" thickTop="1" x14ac:dyDescent="0.25">
      <c r="B649" s="381"/>
      <c r="C649" s="381"/>
      <c r="D649" s="381"/>
      <c r="E649" s="381"/>
      <c r="F649" s="381"/>
      <c r="G649" s="381"/>
      <c r="H649" s="381"/>
      <c r="I649" s="381"/>
      <c r="J649" s="381"/>
      <c r="K649" s="381"/>
      <c r="L649" s="381"/>
    </row>
    <row r="650" spans="2:12" ht="15" x14ac:dyDescent="0.25">
      <c r="B650" s="420" t="s">
        <v>1144</v>
      </c>
      <c r="C650" s="366" t="s">
        <v>0</v>
      </c>
      <c r="D650" s="420" t="s">
        <v>183</v>
      </c>
      <c r="E650" s="420" t="s">
        <v>82</v>
      </c>
      <c r="F650" s="517" t="s">
        <v>1</v>
      </c>
      <c r="G650" s="517"/>
      <c r="H650" s="367" t="s">
        <v>3</v>
      </c>
      <c r="I650" s="366" t="s">
        <v>184</v>
      </c>
      <c r="J650" s="366" t="s">
        <v>1426</v>
      </c>
      <c r="K650" s="366" t="s">
        <v>185</v>
      </c>
      <c r="L650" s="366" t="s">
        <v>4</v>
      </c>
    </row>
    <row r="651" spans="2:12" ht="38.25" x14ac:dyDescent="0.25">
      <c r="B651" s="421" t="s">
        <v>7</v>
      </c>
      <c r="C651" s="368" t="s">
        <v>1495</v>
      </c>
      <c r="D651" s="421" t="s">
        <v>31</v>
      </c>
      <c r="E651" s="421" t="s">
        <v>1365</v>
      </c>
      <c r="F651" s="518" t="s">
        <v>215</v>
      </c>
      <c r="G651" s="518"/>
      <c r="H651" s="369" t="s">
        <v>35</v>
      </c>
      <c r="I651" s="370">
        <v>1</v>
      </c>
      <c r="J651" s="371"/>
      <c r="K651" s="371">
        <v>14.62</v>
      </c>
      <c r="L651" s="371">
        <v>14.62</v>
      </c>
    </row>
    <row r="652" spans="2:12" ht="38.25" x14ac:dyDescent="0.25">
      <c r="B652" s="422" t="s">
        <v>187</v>
      </c>
      <c r="C652" s="372" t="s">
        <v>216</v>
      </c>
      <c r="D652" s="422" t="s">
        <v>31</v>
      </c>
      <c r="E652" s="422" t="s">
        <v>217</v>
      </c>
      <c r="F652" s="519" t="s">
        <v>186</v>
      </c>
      <c r="G652" s="519"/>
      <c r="H652" s="373" t="s">
        <v>32</v>
      </c>
      <c r="I652" s="374">
        <v>0.11219999999999999</v>
      </c>
      <c r="J652" s="374"/>
      <c r="K652" s="375">
        <v>18.48</v>
      </c>
      <c r="L652" s="375">
        <v>2.0699999999999998</v>
      </c>
    </row>
    <row r="653" spans="2:12" ht="38.25" x14ac:dyDescent="0.25">
      <c r="B653" s="422" t="s">
        <v>187</v>
      </c>
      <c r="C653" s="372" t="s">
        <v>218</v>
      </c>
      <c r="D653" s="422" t="s">
        <v>31</v>
      </c>
      <c r="E653" s="422" t="s">
        <v>219</v>
      </c>
      <c r="F653" s="519" t="s">
        <v>186</v>
      </c>
      <c r="G653" s="519"/>
      <c r="H653" s="373" t="s">
        <v>32</v>
      </c>
      <c r="I653" s="374">
        <v>0.11219999999999999</v>
      </c>
      <c r="J653" s="374"/>
      <c r="K653" s="375">
        <v>22.58</v>
      </c>
      <c r="L653" s="375">
        <v>2.5299999999999998</v>
      </c>
    </row>
    <row r="654" spans="2:12" ht="38.25" x14ac:dyDescent="0.25">
      <c r="B654" s="423" t="s">
        <v>188</v>
      </c>
      <c r="C654" s="376" t="s">
        <v>1496</v>
      </c>
      <c r="D654" s="423" t="s">
        <v>31</v>
      </c>
      <c r="E654" s="423" t="s">
        <v>1497</v>
      </c>
      <c r="F654" s="515" t="s">
        <v>198</v>
      </c>
      <c r="G654" s="515"/>
      <c r="H654" s="377" t="s">
        <v>35</v>
      </c>
      <c r="I654" s="378">
        <v>1.1000000000000001</v>
      </c>
      <c r="J654" s="378"/>
      <c r="K654" s="379">
        <v>9.11</v>
      </c>
      <c r="L654" s="379">
        <v>10.02</v>
      </c>
    </row>
    <row r="655" spans="2:12" ht="15" x14ac:dyDescent="0.25">
      <c r="B655" s="424"/>
      <c r="C655" s="424"/>
      <c r="D655" s="424"/>
      <c r="E655" s="424"/>
      <c r="F655" s="424"/>
      <c r="G655" s="380"/>
      <c r="H655" s="424"/>
      <c r="I655" s="380"/>
      <c r="J655" s="424"/>
      <c r="K655" s="380"/>
      <c r="L655"/>
    </row>
    <row r="656" spans="2:12" ht="15.75" thickBot="1" x14ac:dyDescent="0.3">
      <c r="B656" s="424"/>
      <c r="C656" s="424"/>
      <c r="D656" s="424"/>
      <c r="E656" s="424"/>
      <c r="F656" s="424"/>
      <c r="G656" s="380"/>
      <c r="H656" s="424"/>
      <c r="I656" s="516"/>
      <c r="J656" s="516"/>
      <c r="K656" s="380"/>
      <c r="L656"/>
    </row>
    <row r="657" spans="2:12" ht="13.5" thickTop="1" x14ac:dyDescent="0.25">
      <c r="B657" s="381"/>
      <c r="C657" s="381"/>
      <c r="D657" s="381"/>
      <c r="E657" s="381"/>
      <c r="F657" s="381"/>
      <c r="G657" s="381"/>
      <c r="H657" s="381"/>
      <c r="I657" s="381"/>
      <c r="J657" s="381"/>
      <c r="K657" s="381"/>
      <c r="L657" s="381"/>
    </row>
    <row r="658" spans="2:12" ht="15" x14ac:dyDescent="0.25">
      <c r="B658" s="420" t="s">
        <v>1145</v>
      </c>
      <c r="C658" s="366" t="s">
        <v>0</v>
      </c>
      <c r="D658" s="420" t="s">
        <v>183</v>
      </c>
      <c r="E658" s="420" t="s">
        <v>82</v>
      </c>
      <c r="F658" s="517" t="s">
        <v>1</v>
      </c>
      <c r="G658" s="517"/>
      <c r="H658" s="367" t="s">
        <v>3</v>
      </c>
      <c r="I658" s="366" t="s">
        <v>184</v>
      </c>
      <c r="J658" s="366" t="s">
        <v>1426</v>
      </c>
      <c r="K658" s="366" t="s">
        <v>185</v>
      </c>
      <c r="L658" s="366" t="s">
        <v>4</v>
      </c>
    </row>
    <row r="659" spans="2:12" ht="38.25" x14ac:dyDescent="0.25">
      <c r="B659" s="421" t="s">
        <v>7</v>
      </c>
      <c r="C659" s="368" t="s">
        <v>1498</v>
      </c>
      <c r="D659" s="421" t="s">
        <v>31</v>
      </c>
      <c r="E659" s="421" t="s">
        <v>1366</v>
      </c>
      <c r="F659" s="518" t="s">
        <v>215</v>
      </c>
      <c r="G659" s="518"/>
      <c r="H659" s="369" t="s">
        <v>35</v>
      </c>
      <c r="I659" s="370">
        <v>1</v>
      </c>
      <c r="J659" s="371"/>
      <c r="K659" s="371">
        <v>21.66</v>
      </c>
      <c r="L659" s="371">
        <v>21.66</v>
      </c>
    </row>
    <row r="660" spans="2:12" ht="38.25" x14ac:dyDescent="0.25">
      <c r="B660" s="422" t="s">
        <v>187</v>
      </c>
      <c r="C660" s="372" t="s">
        <v>218</v>
      </c>
      <c r="D660" s="422" t="s">
        <v>31</v>
      </c>
      <c r="E660" s="422" t="s">
        <v>219</v>
      </c>
      <c r="F660" s="519" t="s">
        <v>186</v>
      </c>
      <c r="G660" s="519"/>
      <c r="H660" s="373" t="s">
        <v>32</v>
      </c>
      <c r="I660" s="374">
        <v>0.129</v>
      </c>
      <c r="J660" s="374"/>
      <c r="K660" s="375">
        <v>22.58</v>
      </c>
      <c r="L660" s="375">
        <v>2.91</v>
      </c>
    </row>
    <row r="661" spans="2:12" ht="38.25" x14ac:dyDescent="0.25">
      <c r="B661" s="422" t="s">
        <v>187</v>
      </c>
      <c r="C661" s="372" t="s">
        <v>216</v>
      </c>
      <c r="D661" s="422" t="s">
        <v>31</v>
      </c>
      <c r="E661" s="422" t="s">
        <v>217</v>
      </c>
      <c r="F661" s="519" t="s">
        <v>186</v>
      </c>
      <c r="G661" s="519"/>
      <c r="H661" s="373" t="s">
        <v>32</v>
      </c>
      <c r="I661" s="374">
        <v>0.129</v>
      </c>
      <c r="J661" s="374"/>
      <c r="K661" s="375">
        <v>18.48</v>
      </c>
      <c r="L661" s="375">
        <v>2.38</v>
      </c>
    </row>
    <row r="662" spans="2:12" ht="38.25" x14ac:dyDescent="0.25">
      <c r="B662" s="423" t="s">
        <v>188</v>
      </c>
      <c r="C662" s="376" t="s">
        <v>1499</v>
      </c>
      <c r="D662" s="423" t="s">
        <v>31</v>
      </c>
      <c r="E662" s="423" t="s">
        <v>1500</v>
      </c>
      <c r="F662" s="515" t="s">
        <v>198</v>
      </c>
      <c r="G662" s="515"/>
      <c r="H662" s="377" t="s">
        <v>35</v>
      </c>
      <c r="I662" s="378">
        <v>1.1000000000000001</v>
      </c>
      <c r="J662" s="378"/>
      <c r="K662" s="379">
        <v>14.89</v>
      </c>
      <c r="L662" s="379">
        <v>16.37</v>
      </c>
    </row>
    <row r="663" spans="2:12" ht="15" x14ac:dyDescent="0.25">
      <c r="B663" s="424"/>
      <c r="C663" s="424"/>
      <c r="D663" s="424"/>
      <c r="E663" s="424"/>
      <c r="F663" s="424"/>
      <c r="G663" s="380"/>
      <c r="H663" s="424"/>
      <c r="I663" s="380"/>
      <c r="J663" s="424"/>
      <c r="K663" s="380"/>
      <c r="L663"/>
    </row>
    <row r="664" spans="2:12" ht="15.75" thickBot="1" x14ac:dyDescent="0.3">
      <c r="B664" s="424"/>
      <c r="C664" s="424"/>
      <c r="D664" s="424"/>
      <c r="E664" s="424"/>
      <c r="F664" s="424"/>
      <c r="G664" s="380"/>
      <c r="H664" s="424"/>
      <c r="I664" s="516"/>
      <c r="J664" s="516"/>
      <c r="K664" s="380"/>
      <c r="L664"/>
    </row>
    <row r="665" spans="2:12" ht="13.5" thickTop="1" x14ac:dyDescent="0.25">
      <c r="B665" s="381"/>
      <c r="C665" s="381"/>
      <c r="D665" s="381"/>
      <c r="E665" s="381"/>
      <c r="F665" s="381"/>
      <c r="G665" s="381"/>
      <c r="H665" s="381"/>
      <c r="I665" s="381"/>
      <c r="J665" s="381"/>
      <c r="K665" s="381"/>
      <c r="L665" s="381"/>
    </row>
    <row r="666" spans="2:12" ht="15" x14ac:dyDescent="0.25">
      <c r="B666" s="420" t="s">
        <v>1146</v>
      </c>
      <c r="C666" s="366" t="s">
        <v>0</v>
      </c>
      <c r="D666" s="420" t="s">
        <v>183</v>
      </c>
      <c r="E666" s="420" t="s">
        <v>82</v>
      </c>
      <c r="F666" s="517" t="s">
        <v>1</v>
      </c>
      <c r="G666" s="517"/>
      <c r="H666" s="367" t="s">
        <v>3</v>
      </c>
      <c r="I666" s="366" t="s">
        <v>184</v>
      </c>
      <c r="J666" s="366" t="s">
        <v>1426</v>
      </c>
      <c r="K666" s="366" t="s">
        <v>185</v>
      </c>
      <c r="L666" s="366" t="s">
        <v>4</v>
      </c>
    </row>
    <row r="667" spans="2:12" ht="38.25" x14ac:dyDescent="0.25">
      <c r="B667" s="421" t="s">
        <v>7</v>
      </c>
      <c r="C667" s="368" t="s">
        <v>1501</v>
      </c>
      <c r="D667" s="421" t="s">
        <v>31</v>
      </c>
      <c r="E667" s="421" t="s">
        <v>940</v>
      </c>
      <c r="F667" s="518" t="s">
        <v>215</v>
      </c>
      <c r="G667" s="518"/>
      <c r="H667" s="369" t="s">
        <v>35</v>
      </c>
      <c r="I667" s="370">
        <v>1</v>
      </c>
      <c r="J667" s="371"/>
      <c r="K667" s="371">
        <v>55.95</v>
      </c>
      <c r="L667" s="371">
        <v>55.95</v>
      </c>
    </row>
    <row r="668" spans="2:12" ht="38.25" x14ac:dyDescent="0.25">
      <c r="B668" s="422" t="s">
        <v>187</v>
      </c>
      <c r="C668" s="372" t="s">
        <v>216</v>
      </c>
      <c r="D668" s="422" t="s">
        <v>31</v>
      </c>
      <c r="E668" s="422" t="s">
        <v>217</v>
      </c>
      <c r="F668" s="519" t="s">
        <v>186</v>
      </c>
      <c r="G668" s="519"/>
      <c r="H668" s="373" t="s">
        <v>32</v>
      </c>
      <c r="I668" s="374">
        <v>0.21299999999999999</v>
      </c>
      <c r="J668" s="374"/>
      <c r="K668" s="375">
        <v>18.48</v>
      </c>
      <c r="L668" s="375">
        <v>3.93</v>
      </c>
    </row>
    <row r="669" spans="2:12" ht="38.25" x14ac:dyDescent="0.25">
      <c r="B669" s="422" t="s">
        <v>187</v>
      </c>
      <c r="C669" s="372" t="s">
        <v>218</v>
      </c>
      <c r="D669" s="422" t="s">
        <v>31</v>
      </c>
      <c r="E669" s="422" t="s">
        <v>219</v>
      </c>
      <c r="F669" s="519" t="s">
        <v>186</v>
      </c>
      <c r="G669" s="519"/>
      <c r="H669" s="373" t="s">
        <v>32</v>
      </c>
      <c r="I669" s="374">
        <v>0.21299999999999999</v>
      </c>
      <c r="J669" s="374"/>
      <c r="K669" s="375">
        <v>22.58</v>
      </c>
      <c r="L669" s="375">
        <v>4.8</v>
      </c>
    </row>
    <row r="670" spans="2:12" ht="38.25" x14ac:dyDescent="0.25">
      <c r="B670" s="423" t="s">
        <v>188</v>
      </c>
      <c r="C670" s="376" t="s">
        <v>1502</v>
      </c>
      <c r="D670" s="423" t="s">
        <v>31</v>
      </c>
      <c r="E670" s="423" t="s">
        <v>1503</v>
      </c>
      <c r="F670" s="515" t="s">
        <v>198</v>
      </c>
      <c r="G670" s="515"/>
      <c r="H670" s="377" t="s">
        <v>35</v>
      </c>
      <c r="I670" s="378">
        <v>1.1000000000000001</v>
      </c>
      <c r="J670" s="378"/>
      <c r="K670" s="379">
        <v>42.93</v>
      </c>
      <c r="L670" s="379">
        <v>47.22</v>
      </c>
    </row>
    <row r="671" spans="2:12" ht="15" x14ac:dyDescent="0.25">
      <c r="B671" s="424"/>
      <c r="C671" s="424"/>
      <c r="D671" s="424"/>
      <c r="E671" s="424"/>
      <c r="F671" s="424"/>
      <c r="G671" s="380"/>
      <c r="H671" s="424"/>
      <c r="I671" s="380"/>
      <c r="J671" s="424"/>
      <c r="K671" s="380"/>
      <c r="L671"/>
    </row>
    <row r="672" spans="2:12" ht="15.75" thickBot="1" x14ac:dyDescent="0.3">
      <c r="B672" s="424"/>
      <c r="C672" s="424"/>
      <c r="D672" s="424"/>
      <c r="E672" s="424"/>
      <c r="F672" s="424"/>
      <c r="G672" s="380"/>
      <c r="H672" s="424"/>
      <c r="I672" s="516"/>
      <c r="J672" s="516"/>
      <c r="K672" s="380"/>
      <c r="L672"/>
    </row>
    <row r="673" spans="2:12" ht="13.5" thickTop="1" x14ac:dyDescent="0.25">
      <c r="B673" s="381"/>
      <c r="C673" s="381"/>
      <c r="D673" s="381"/>
      <c r="E673" s="381"/>
      <c r="F673" s="381"/>
      <c r="G673" s="381"/>
      <c r="H673" s="381"/>
      <c r="I673" s="381"/>
      <c r="J673" s="381"/>
      <c r="K673" s="381"/>
      <c r="L673" s="381"/>
    </row>
    <row r="674" spans="2:12" ht="15" x14ac:dyDescent="0.25">
      <c r="B674" s="420" t="s">
        <v>1504</v>
      </c>
      <c r="C674" s="366" t="s">
        <v>0</v>
      </c>
      <c r="D674" s="420" t="s">
        <v>183</v>
      </c>
      <c r="E674" s="420" t="s">
        <v>82</v>
      </c>
      <c r="F674" s="517" t="s">
        <v>1</v>
      </c>
      <c r="G674" s="517"/>
      <c r="H674" s="367" t="s">
        <v>3</v>
      </c>
      <c r="I674" s="366" t="s">
        <v>184</v>
      </c>
      <c r="J674" s="366" t="s">
        <v>1426</v>
      </c>
      <c r="K674" s="366" t="s">
        <v>185</v>
      </c>
      <c r="L674" s="366" t="s">
        <v>4</v>
      </c>
    </row>
    <row r="675" spans="2:12" ht="25.5" x14ac:dyDescent="0.25">
      <c r="B675" s="421" t="s">
        <v>7</v>
      </c>
      <c r="C675" s="368" t="s">
        <v>941</v>
      </c>
      <c r="D675" s="421" t="s">
        <v>175</v>
      </c>
      <c r="E675" s="421" t="s">
        <v>942</v>
      </c>
      <c r="F675" s="518" t="s">
        <v>1147</v>
      </c>
      <c r="G675" s="518"/>
      <c r="H675" s="369" t="s">
        <v>225</v>
      </c>
      <c r="I675" s="370">
        <v>1</v>
      </c>
      <c r="J675" s="371"/>
      <c r="K675" s="371">
        <v>6.44</v>
      </c>
      <c r="L675" s="371">
        <v>6.44</v>
      </c>
    </row>
    <row r="676" spans="2:12" ht="38.25" x14ac:dyDescent="0.25">
      <c r="B676" s="422" t="s">
        <v>187</v>
      </c>
      <c r="C676" s="372" t="s">
        <v>1096</v>
      </c>
      <c r="D676" s="422" t="s">
        <v>175</v>
      </c>
      <c r="E676" s="422" t="s">
        <v>1097</v>
      </c>
      <c r="F676" s="519" t="s">
        <v>1098</v>
      </c>
      <c r="G676" s="519"/>
      <c r="H676" s="373" t="s">
        <v>1099</v>
      </c>
      <c r="I676" s="374">
        <v>0.1</v>
      </c>
      <c r="J676" s="374"/>
      <c r="K676" s="375">
        <v>3.63</v>
      </c>
      <c r="L676" s="375">
        <v>0.36</v>
      </c>
    </row>
    <row r="677" spans="2:12" ht="38.25" x14ac:dyDescent="0.25">
      <c r="B677" s="422" t="s">
        <v>187</v>
      </c>
      <c r="C677" s="372" t="s">
        <v>1148</v>
      </c>
      <c r="D677" s="422" t="s">
        <v>175</v>
      </c>
      <c r="E677" s="422" t="s">
        <v>1149</v>
      </c>
      <c r="F677" s="519" t="s">
        <v>1098</v>
      </c>
      <c r="G677" s="519"/>
      <c r="H677" s="373" t="s">
        <v>1099</v>
      </c>
      <c r="I677" s="374">
        <v>0.1</v>
      </c>
      <c r="J677" s="374"/>
      <c r="K677" s="375">
        <v>3.56</v>
      </c>
      <c r="L677" s="375">
        <v>0.35</v>
      </c>
    </row>
    <row r="678" spans="2:12" ht="38.25" x14ac:dyDescent="0.25">
      <c r="B678" s="423" t="s">
        <v>188</v>
      </c>
      <c r="C678" s="376" t="s">
        <v>1152</v>
      </c>
      <c r="D678" s="423" t="s">
        <v>31</v>
      </c>
      <c r="E678" s="423" t="s">
        <v>1153</v>
      </c>
      <c r="F678" s="515" t="s">
        <v>198</v>
      </c>
      <c r="G678" s="515"/>
      <c r="H678" s="377" t="s">
        <v>22</v>
      </c>
      <c r="I678" s="378">
        <v>1</v>
      </c>
      <c r="J678" s="378"/>
      <c r="K678" s="379">
        <v>2.94</v>
      </c>
      <c r="L678" s="379">
        <v>2.94</v>
      </c>
    </row>
    <row r="679" spans="2:12" ht="38.25" x14ac:dyDescent="0.25">
      <c r="B679" s="423" t="s">
        <v>188</v>
      </c>
      <c r="C679" s="376" t="s">
        <v>177</v>
      </c>
      <c r="D679" s="423" t="s">
        <v>31</v>
      </c>
      <c r="E679" s="423" t="s">
        <v>1150</v>
      </c>
      <c r="F679" s="515" t="s">
        <v>189</v>
      </c>
      <c r="G679" s="515"/>
      <c r="H679" s="377" t="s">
        <v>32</v>
      </c>
      <c r="I679" s="378">
        <v>0.1</v>
      </c>
      <c r="J679" s="378"/>
      <c r="K679" s="379">
        <v>16.39</v>
      </c>
      <c r="L679" s="379">
        <v>1.63</v>
      </c>
    </row>
    <row r="680" spans="2:12" ht="38.25" x14ac:dyDescent="0.25">
      <c r="B680" s="423" t="s">
        <v>188</v>
      </c>
      <c r="C680" s="376" t="s">
        <v>173</v>
      </c>
      <c r="D680" s="423" t="s">
        <v>31</v>
      </c>
      <c r="E680" s="423" t="s">
        <v>47</v>
      </c>
      <c r="F680" s="515" t="s">
        <v>189</v>
      </c>
      <c r="G680" s="515"/>
      <c r="H680" s="377" t="s">
        <v>32</v>
      </c>
      <c r="I680" s="378">
        <v>0.1</v>
      </c>
      <c r="J680" s="378"/>
      <c r="K680" s="379">
        <v>11.67</v>
      </c>
      <c r="L680" s="379">
        <v>1.1599999999999999</v>
      </c>
    </row>
    <row r="681" spans="2:12" ht="15" x14ac:dyDescent="0.25">
      <c r="B681" s="424"/>
      <c r="C681" s="424"/>
      <c r="D681" s="424"/>
      <c r="E681" s="424"/>
      <c r="F681" s="424"/>
      <c r="G681" s="380"/>
      <c r="H681" s="424"/>
      <c r="I681" s="380"/>
      <c r="J681" s="424"/>
      <c r="K681" s="380"/>
      <c r="L681"/>
    </row>
    <row r="682" spans="2:12" ht="15.75" thickBot="1" x14ac:dyDescent="0.3">
      <c r="B682" s="424"/>
      <c r="C682" s="424"/>
      <c r="D682" s="424"/>
      <c r="E682" s="424"/>
      <c r="F682" s="424"/>
      <c r="G682" s="380"/>
      <c r="H682" s="424"/>
      <c r="I682" s="516"/>
      <c r="J682" s="516"/>
      <c r="K682" s="380"/>
      <c r="L682"/>
    </row>
    <row r="683" spans="2:12" ht="13.5" thickTop="1" x14ac:dyDescent="0.25">
      <c r="B683" s="381"/>
      <c r="C683" s="381"/>
      <c r="D683" s="381"/>
      <c r="E683" s="381"/>
      <c r="F683" s="381"/>
      <c r="G683" s="381"/>
      <c r="H683" s="381"/>
      <c r="I683" s="381"/>
      <c r="J683" s="381"/>
      <c r="K683" s="381"/>
      <c r="L683" s="381"/>
    </row>
    <row r="684" spans="2:12" ht="15" x14ac:dyDescent="0.25">
      <c r="B684" s="420" t="s">
        <v>1505</v>
      </c>
      <c r="C684" s="366" t="s">
        <v>0</v>
      </c>
      <c r="D684" s="420" t="s">
        <v>183</v>
      </c>
      <c r="E684" s="420" t="s">
        <v>82</v>
      </c>
      <c r="F684" s="517" t="s">
        <v>1</v>
      </c>
      <c r="G684" s="517"/>
      <c r="H684" s="367" t="s">
        <v>3</v>
      </c>
      <c r="I684" s="366" t="s">
        <v>184</v>
      </c>
      <c r="J684" s="366" t="s">
        <v>1426</v>
      </c>
      <c r="K684" s="366" t="s">
        <v>185</v>
      </c>
      <c r="L684" s="366" t="s">
        <v>4</v>
      </c>
    </row>
    <row r="685" spans="2:12" ht="25.5" x14ac:dyDescent="0.25">
      <c r="B685" s="421" t="s">
        <v>7</v>
      </c>
      <c r="C685" s="368" t="s">
        <v>735</v>
      </c>
      <c r="D685" s="421" t="s">
        <v>212</v>
      </c>
      <c r="E685" s="421" t="s">
        <v>736</v>
      </c>
      <c r="F685" s="518" t="s">
        <v>1281</v>
      </c>
      <c r="G685" s="518"/>
      <c r="H685" s="369" t="s">
        <v>35</v>
      </c>
      <c r="I685" s="370">
        <v>1</v>
      </c>
      <c r="J685" s="371"/>
      <c r="K685" s="371">
        <v>109.76</v>
      </c>
      <c r="L685" s="371">
        <v>109.76</v>
      </c>
    </row>
    <row r="686" spans="2:12" ht="38.25" x14ac:dyDescent="0.25">
      <c r="B686" s="422" t="s">
        <v>187</v>
      </c>
      <c r="C686" s="372" t="s">
        <v>216</v>
      </c>
      <c r="D686" s="422" t="s">
        <v>31</v>
      </c>
      <c r="E686" s="422" t="s">
        <v>217</v>
      </c>
      <c r="F686" s="519" t="s">
        <v>186</v>
      </c>
      <c r="G686" s="519"/>
      <c r="H686" s="373" t="s">
        <v>32</v>
      </c>
      <c r="I686" s="374">
        <v>0.61599999999999999</v>
      </c>
      <c r="J686" s="374"/>
      <c r="K686" s="375">
        <v>18.48</v>
      </c>
      <c r="L686" s="375">
        <v>11.38</v>
      </c>
    </row>
    <row r="687" spans="2:12" ht="38.25" x14ac:dyDescent="0.25">
      <c r="B687" s="422" t="s">
        <v>187</v>
      </c>
      <c r="C687" s="372" t="s">
        <v>218</v>
      </c>
      <c r="D687" s="422" t="s">
        <v>31</v>
      </c>
      <c r="E687" s="422" t="s">
        <v>219</v>
      </c>
      <c r="F687" s="519" t="s">
        <v>186</v>
      </c>
      <c r="G687" s="519"/>
      <c r="H687" s="373" t="s">
        <v>32</v>
      </c>
      <c r="I687" s="374">
        <v>0.61599999999999999</v>
      </c>
      <c r="J687" s="374"/>
      <c r="K687" s="375">
        <v>22.58</v>
      </c>
      <c r="L687" s="375">
        <v>13.9</v>
      </c>
    </row>
    <row r="688" spans="2:12" x14ac:dyDescent="0.25">
      <c r="B688" s="423" t="s">
        <v>188</v>
      </c>
      <c r="C688" s="376" t="s">
        <v>798</v>
      </c>
      <c r="D688" s="423" t="s">
        <v>212</v>
      </c>
      <c r="E688" s="423" t="s">
        <v>799</v>
      </c>
      <c r="F688" s="515" t="s">
        <v>198</v>
      </c>
      <c r="G688" s="515"/>
      <c r="H688" s="377" t="s">
        <v>35</v>
      </c>
      <c r="I688" s="378">
        <v>1.05</v>
      </c>
      <c r="J688" s="378"/>
      <c r="K688" s="379">
        <v>80.459999999999994</v>
      </c>
      <c r="L688" s="379">
        <v>84.48</v>
      </c>
    </row>
    <row r="689" spans="2:12" ht="15" x14ac:dyDescent="0.25">
      <c r="B689" s="424"/>
      <c r="C689" s="424"/>
      <c r="D689" s="424"/>
      <c r="E689" s="424"/>
      <c r="F689" s="424"/>
      <c r="G689" s="380"/>
      <c r="H689" s="424"/>
      <c r="I689" s="380"/>
      <c r="J689" s="424"/>
      <c r="K689" s="380"/>
      <c r="L689"/>
    </row>
    <row r="690" spans="2:12" ht="15.75" thickBot="1" x14ac:dyDescent="0.3">
      <c r="B690" s="424"/>
      <c r="C690" s="424"/>
      <c r="D690" s="424"/>
      <c r="E690" s="424"/>
      <c r="F690" s="424"/>
      <c r="G690" s="380"/>
      <c r="H690" s="424"/>
      <c r="I690" s="516"/>
      <c r="J690" s="516"/>
      <c r="K690" s="380"/>
      <c r="L690"/>
    </row>
    <row r="691" spans="2:12" ht="13.5" thickTop="1" x14ac:dyDescent="0.25">
      <c r="B691" s="381"/>
      <c r="C691" s="381"/>
      <c r="D691" s="381"/>
      <c r="E691" s="381"/>
      <c r="F691" s="381"/>
      <c r="G691" s="381"/>
      <c r="H691" s="381"/>
      <c r="I691" s="381"/>
      <c r="J691" s="381"/>
      <c r="K691" s="381"/>
      <c r="L691" s="381"/>
    </row>
    <row r="692" spans="2:12" ht="15" x14ac:dyDescent="0.25">
      <c r="B692" s="420" t="s">
        <v>1151</v>
      </c>
      <c r="C692" s="366" t="s">
        <v>0</v>
      </c>
      <c r="D692" s="420" t="s">
        <v>183</v>
      </c>
      <c r="E692" s="420" t="s">
        <v>82</v>
      </c>
      <c r="F692" s="517" t="s">
        <v>1</v>
      </c>
      <c r="G692" s="517"/>
      <c r="H692" s="367" t="s">
        <v>3</v>
      </c>
      <c r="I692" s="366" t="s">
        <v>184</v>
      </c>
      <c r="J692" s="366" t="s">
        <v>1426</v>
      </c>
      <c r="K692" s="366" t="s">
        <v>185</v>
      </c>
      <c r="L692" s="366" t="s">
        <v>4</v>
      </c>
    </row>
    <row r="693" spans="2:12" ht="25.5" x14ac:dyDescent="0.25">
      <c r="B693" s="421" t="s">
        <v>7</v>
      </c>
      <c r="C693" s="368" t="s">
        <v>943</v>
      </c>
      <c r="D693" s="421" t="s">
        <v>212</v>
      </c>
      <c r="E693" s="421" t="s">
        <v>944</v>
      </c>
      <c r="F693" s="518" t="s">
        <v>1278</v>
      </c>
      <c r="G693" s="518"/>
      <c r="H693" s="369" t="s">
        <v>22</v>
      </c>
      <c r="I693" s="370">
        <v>1</v>
      </c>
      <c r="J693" s="371"/>
      <c r="K693" s="371">
        <v>39.74</v>
      </c>
      <c r="L693" s="371">
        <v>39.74</v>
      </c>
    </row>
    <row r="694" spans="2:12" ht="38.25" x14ac:dyDescent="0.25">
      <c r="B694" s="422" t="s">
        <v>187</v>
      </c>
      <c r="C694" s="372" t="s">
        <v>216</v>
      </c>
      <c r="D694" s="422" t="s">
        <v>31</v>
      </c>
      <c r="E694" s="422" t="s">
        <v>217</v>
      </c>
      <c r="F694" s="519" t="s">
        <v>186</v>
      </c>
      <c r="G694" s="519"/>
      <c r="H694" s="373" t="s">
        <v>32</v>
      </c>
      <c r="I694" s="374">
        <v>0.1</v>
      </c>
      <c r="J694" s="374"/>
      <c r="K694" s="375">
        <v>18.48</v>
      </c>
      <c r="L694" s="375">
        <v>1.84</v>
      </c>
    </row>
    <row r="695" spans="2:12" x14ac:dyDescent="0.25">
      <c r="B695" s="423" t="s">
        <v>188</v>
      </c>
      <c r="C695" s="376" t="s">
        <v>1156</v>
      </c>
      <c r="D695" s="423" t="s">
        <v>212</v>
      </c>
      <c r="E695" s="423" t="s">
        <v>1506</v>
      </c>
      <c r="F695" s="515" t="s">
        <v>198</v>
      </c>
      <c r="G695" s="515"/>
      <c r="H695" s="377" t="s">
        <v>22</v>
      </c>
      <c r="I695" s="378">
        <v>1</v>
      </c>
      <c r="J695" s="378"/>
      <c r="K695" s="379">
        <v>37.9</v>
      </c>
      <c r="L695" s="379">
        <v>37.9</v>
      </c>
    </row>
    <row r="696" spans="2:12" ht="15" x14ac:dyDescent="0.25">
      <c r="B696" s="424"/>
      <c r="C696" s="424"/>
      <c r="D696" s="424"/>
      <c r="E696" s="424"/>
      <c r="F696" s="424"/>
      <c r="G696" s="380"/>
      <c r="H696" s="424"/>
      <c r="I696" s="380"/>
      <c r="J696" s="424"/>
      <c r="K696" s="380"/>
      <c r="L696"/>
    </row>
    <row r="697" spans="2:12" ht="15.75" thickBot="1" x14ac:dyDescent="0.3">
      <c r="B697" s="424"/>
      <c r="C697" s="424"/>
      <c r="D697" s="424"/>
      <c r="E697" s="424"/>
      <c r="F697" s="424"/>
      <c r="G697" s="380"/>
      <c r="H697" s="424"/>
      <c r="I697" s="516"/>
      <c r="J697" s="516"/>
      <c r="K697" s="380"/>
      <c r="L697"/>
    </row>
    <row r="698" spans="2:12" ht="13.5" thickTop="1" x14ac:dyDescent="0.25">
      <c r="B698" s="381"/>
      <c r="C698" s="381"/>
      <c r="D698" s="381"/>
      <c r="E698" s="381"/>
      <c r="F698" s="381"/>
      <c r="G698" s="381"/>
      <c r="H698" s="381"/>
      <c r="I698" s="381"/>
      <c r="J698" s="381"/>
      <c r="K698" s="381"/>
      <c r="L698" s="381"/>
    </row>
    <row r="699" spans="2:12" ht="15" x14ac:dyDescent="0.25">
      <c r="B699" s="420" t="s">
        <v>1154</v>
      </c>
      <c r="C699" s="366" t="s">
        <v>0</v>
      </c>
      <c r="D699" s="420" t="s">
        <v>183</v>
      </c>
      <c r="E699" s="420" t="s">
        <v>82</v>
      </c>
      <c r="F699" s="517" t="s">
        <v>1</v>
      </c>
      <c r="G699" s="517"/>
      <c r="H699" s="367" t="s">
        <v>3</v>
      </c>
      <c r="I699" s="366" t="s">
        <v>184</v>
      </c>
      <c r="J699" s="366" t="s">
        <v>1426</v>
      </c>
      <c r="K699" s="366" t="s">
        <v>185</v>
      </c>
      <c r="L699" s="366" t="s">
        <v>4</v>
      </c>
    </row>
    <row r="700" spans="2:12" ht="25.5" x14ac:dyDescent="0.25">
      <c r="B700" s="421" t="s">
        <v>7</v>
      </c>
      <c r="C700" s="368" t="s">
        <v>1507</v>
      </c>
      <c r="D700" s="421" t="s">
        <v>1340</v>
      </c>
      <c r="E700" s="421" t="s">
        <v>1368</v>
      </c>
      <c r="F700" s="518" t="s">
        <v>1341</v>
      </c>
      <c r="G700" s="518"/>
      <c r="H700" s="369" t="s">
        <v>22</v>
      </c>
      <c r="I700" s="370">
        <v>1</v>
      </c>
      <c r="J700" s="371"/>
      <c r="K700" s="371">
        <v>284.49</v>
      </c>
      <c r="L700" s="371">
        <v>284.49</v>
      </c>
    </row>
    <row r="701" spans="2:12" x14ac:dyDescent="0.25">
      <c r="B701" s="423" t="s">
        <v>188</v>
      </c>
      <c r="C701" s="376" t="s">
        <v>1508</v>
      </c>
      <c r="D701" s="423" t="s">
        <v>1340</v>
      </c>
      <c r="E701" s="423" t="s">
        <v>1509</v>
      </c>
      <c r="F701" s="515" t="s">
        <v>198</v>
      </c>
      <c r="G701" s="515"/>
      <c r="H701" s="377" t="s">
        <v>824</v>
      </c>
      <c r="I701" s="378">
        <v>2</v>
      </c>
      <c r="J701" s="378"/>
      <c r="K701" s="379">
        <v>45.95</v>
      </c>
      <c r="L701" s="379">
        <v>91.9</v>
      </c>
    </row>
    <row r="702" spans="2:12" ht="25.5" x14ac:dyDescent="0.25">
      <c r="B702" s="423" t="s">
        <v>188</v>
      </c>
      <c r="C702" s="376" t="s">
        <v>1510</v>
      </c>
      <c r="D702" s="423" t="s">
        <v>1340</v>
      </c>
      <c r="E702" s="423" t="s">
        <v>1511</v>
      </c>
      <c r="F702" s="515" t="s">
        <v>198</v>
      </c>
      <c r="G702" s="515"/>
      <c r="H702" s="377" t="s">
        <v>824</v>
      </c>
      <c r="I702" s="378">
        <v>1</v>
      </c>
      <c r="J702" s="378"/>
      <c r="K702" s="379">
        <v>120.95</v>
      </c>
      <c r="L702" s="379">
        <v>120.95</v>
      </c>
    </row>
    <row r="703" spans="2:12" x14ac:dyDescent="0.25">
      <c r="B703" s="423" t="s">
        <v>188</v>
      </c>
      <c r="C703" s="376" t="s">
        <v>1512</v>
      </c>
      <c r="D703" s="423" t="s">
        <v>1340</v>
      </c>
      <c r="E703" s="423" t="s">
        <v>1513</v>
      </c>
      <c r="F703" s="515" t="s">
        <v>198</v>
      </c>
      <c r="G703" s="515"/>
      <c r="H703" s="377" t="s">
        <v>824</v>
      </c>
      <c r="I703" s="378">
        <v>4</v>
      </c>
      <c r="J703" s="378"/>
      <c r="K703" s="379">
        <v>1.71</v>
      </c>
      <c r="L703" s="379">
        <v>6.84</v>
      </c>
    </row>
    <row r="704" spans="2:12" x14ac:dyDescent="0.25">
      <c r="B704" s="423" t="s">
        <v>188</v>
      </c>
      <c r="C704" s="376" t="s">
        <v>1342</v>
      </c>
      <c r="D704" s="423" t="s">
        <v>1340</v>
      </c>
      <c r="E704" s="423" t="s">
        <v>1343</v>
      </c>
      <c r="F704" s="515" t="s">
        <v>189</v>
      </c>
      <c r="G704" s="515"/>
      <c r="H704" s="377" t="s">
        <v>32</v>
      </c>
      <c r="I704" s="378">
        <v>1.4</v>
      </c>
      <c r="J704" s="378"/>
      <c r="K704" s="379">
        <v>19.559999999999999</v>
      </c>
      <c r="L704" s="379">
        <v>27.38</v>
      </c>
    </row>
    <row r="705" spans="2:12" x14ac:dyDescent="0.25">
      <c r="B705" s="423" t="s">
        <v>188</v>
      </c>
      <c r="C705" s="376" t="s">
        <v>1344</v>
      </c>
      <c r="D705" s="423" t="s">
        <v>1340</v>
      </c>
      <c r="E705" s="423" t="s">
        <v>1345</v>
      </c>
      <c r="F705" s="515" t="s">
        <v>189</v>
      </c>
      <c r="G705" s="515"/>
      <c r="H705" s="377" t="s">
        <v>32</v>
      </c>
      <c r="I705" s="378">
        <v>1.4</v>
      </c>
      <c r="J705" s="378"/>
      <c r="K705" s="379">
        <v>26.73</v>
      </c>
      <c r="L705" s="379">
        <v>37.42</v>
      </c>
    </row>
    <row r="706" spans="2:12" ht="15" x14ac:dyDescent="0.25">
      <c r="B706" s="424"/>
      <c r="C706" s="424"/>
      <c r="D706" s="424"/>
      <c r="E706" s="424"/>
      <c r="F706" s="424"/>
      <c r="G706" s="380"/>
      <c r="H706" s="424"/>
      <c r="I706" s="380"/>
      <c r="J706" s="424"/>
      <c r="K706" s="380"/>
      <c r="L706"/>
    </row>
    <row r="707" spans="2:12" ht="15.75" thickBot="1" x14ac:dyDescent="0.3">
      <c r="B707" s="424"/>
      <c r="C707" s="424"/>
      <c r="D707" s="424"/>
      <c r="E707" s="424"/>
      <c r="F707" s="424"/>
      <c r="G707" s="380"/>
      <c r="H707" s="424"/>
      <c r="I707" s="516"/>
      <c r="J707" s="516"/>
      <c r="K707" s="380"/>
      <c r="L707"/>
    </row>
    <row r="708" spans="2:12" ht="13.5" thickTop="1" x14ac:dyDescent="0.25">
      <c r="B708" s="381"/>
      <c r="C708" s="381"/>
      <c r="D708" s="381"/>
      <c r="E708" s="381"/>
      <c r="F708" s="381"/>
      <c r="G708" s="381"/>
      <c r="H708" s="381"/>
      <c r="I708" s="381"/>
      <c r="J708" s="381"/>
      <c r="K708" s="381"/>
      <c r="L708" s="381"/>
    </row>
    <row r="709" spans="2:12" ht="15" x14ac:dyDescent="0.25">
      <c r="B709" s="420" t="s">
        <v>1155</v>
      </c>
      <c r="C709" s="366" t="s">
        <v>0</v>
      </c>
      <c r="D709" s="420" t="s">
        <v>183</v>
      </c>
      <c r="E709" s="420" t="s">
        <v>82</v>
      </c>
      <c r="F709" s="517" t="s">
        <v>1</v>
      </c>
      <c r="G709" s="517"/>
      <c r="H709" s="367" t="s">
        <v>3</v>
      </c>
      <c r="I709" s="366" t="s">
        <v>184</v>
      </c>
      <c r="J709" s="366" t="s">
        <v>1426</v>
      </c>
      <c r="K709" s="366" t="s">
        <v>185</v>
      </c>
      <c r="L709" s="366" t="s">
        <v>4</v>
      </c>
    </row>
    <row r="710" spans="2:12" ht="25.5" x14ac:dyDescent="0.25">
      <c r="B710" s="421" t="s">
        <v>7</v>
      </c>
      <c r="C710" s="368" t="s">
        <v>1514</v>
      </c>
      <c r="D710" s="421" t="s">
        <v>31</v>
      </c>
      <c r="E710" s="421" t="s">
        <v>1369</v>
      </c>
      <c r="F710" s="518" t="s">
        <v>215</v>
      </c>
      <c r="G710" s="518"/>
      <c r="H710" s="369" t="s">
        <v>22</v>
      </c>
      <c r="I710" s="370">
        <v>1</v>
      </c>
      <c r="J710" s="371"/>
      <c r="K710" s="371">
        <v>31.85</v>
      </c>
      <c r="L710" s="371">
        <v>31.85</v>
      </c>
    </row>
    <row r="711" spans="2:12" ht="38.25" x14ac:dyDescent="0.25">
      <c r="B711" s="422" t="s">
        <v>187</v>
      </c>
      <c r="C711" s="372" t="s">
        <v>216</v>
      </c>
      <c r="D711" s="422" t="s">
        <v>31</v>
      </c>
      <c r="E711" s="422" t="s">
        <v>217</v>
      </c>
      <c r="F711" s="519" t="s">
        <v>186</v>
      </c>
      <c r="G711" s="519"/>
      <c r="H711" s="373" t="s">
        <v>32</v>
      </c>
      <c r="I711" s="374">
        <v>0.1033</v>
      </c>
      <c r="J711" s="374"/>
      <c r="K711" s="375">
        <v>18.48</v>
      </c>
      <c r="L711" s="375">
        <v>1.9</v>
      </c>
    </row>
    <row r="712" spans="2:12" ht="38.25" x14ac:dyDescent="0.25">
      <c r="B712" s="422" t="s">
        <v>187</v>
      </c>
      <c r="C712" s="372" t="s">
        <v>218</v>
      </c>
      <c r="D712" s="422" t="s">
        <v>31</v>
      </c>
      <c r="E712" s="422" t="s">
        <v>219</v>
      </c>
      <c r="F712" s="519" t="s">
        <v>186</v>
      </c>
      <c r="G712" s="519"/>
      <c r="H712" s="373" t="s">
        <v>32</v>
      </c>
      <c r="I712" s="374">
        <v>0.24779999999999999</v>
      </c>
      <c r="J712" s="374"/>
      <c r="K712" s="375">
        <v>22.58</v>
      </c>
      <c r="L712" s="375">
        <v>5.59</v>
      </c>
    </row>
    <row r="713" spans="2:12" ht="38.25" x14ac:dyDescent="0.25">
      <c r="B713" s="423" t="s">
        <v>188</v>
      </c>
      <c r="C713" s="376" t="s">
        <v>1515</v>
      </c>
      <c r="D713" s="423" t="s">
        <v>31</v>
      </c>
      <c r="E713" s="423" t="s">
        <v>1516</v>
      </c>
      <c r="F713" s="515" t="s">
        <v>198</v>
      </c>
      <c r="G713" s="515"/>
      <c r="H713" s="377" t="s">
        <v>22</v>
      </c>
      <c r="I713" s="378">
        <v>1</v>
      </c>
      <c r="J713" s="378"/>
      <c r="K713" s="379">
        <v>18.98</v>
      </c>
      <c r="L713" s="379">
        <v>18.98</v>
      </c>
    </row>
    <row r="714" spans="2:12" ht="38.25" x14ac:dyDescent="0.25">
      <c r="B714" s="423" t="s">
        <v>188</v>
      </c>
      <c r="C714" s="376" t="s">
        <v>1517</v>
      </c>
      <c r="D714" s="423" t="s">
        <v>31</v>
      </c>
      <c r="E714" s="423" t="s">
        <v>1518</v>
      </c>
      <c r="F714" s="515" t="s">
        <v>198</v>
      </c>
      <c r="G714" s="515"/>
      <c r="H714" s="377" t="s">
        <v>22</v>
      </c>
      <c r="I714" s="378">
        <v>2</v>
      </c>
      <c r="J714" s="378"/>
      <c r="K714" s="379">
        <v>2.69</v>
      </c>
      <c r="L714" s="379">
        <v>5.38</v>
      </c>
    </row>
    <row r="715" spans="2:12" ht="15" x14ac:dyDescent="0.25">
      <c r="B715" s="424"/>
      <c r="C715" s="424"/>
      <c r="D715" s="424"/>
      <c r="E715" s="424"/>
      <c r="F715" s="424"/>
      <c r="G715" s="380"/>
      <c r="H715" s="424"/>
      <c r="I715" s="380"/>
      <c r="J715" s="424"/>
      <c r="K715" s="380"/>
      <c r="L715"/>
    </row>
    <row r="716" spans="2:12" ht="15.75" thickBot="1" x14ac:dyDescent="0.3">
      <c r="B716" s="424"/>
      <c r="C716" s="424"/>
      <c r="D716" s="424"/>
      <c r="E716" s="424"/>
      <c r="F716" s="424"/>
      <c r="G716" s="380"/>
      <c r="H716" s="424"/>
      <c r="I716" s="516"/>
      <c r="J716" s="516"/>
      <c r="K716" s="380"/>
      <c r="L716"/>
    </row>
    <row r="717" spans="2:12" ht="13.5" thickTop="1" x14ac:dyDescent="0.25">
      <c r="B717" s="381"/>
      <c r="C717" s="381"/>
      <c r="D717" s="381"/>
      <c r="E717" s="381"/>
      <c r="F717" s="381"/>
      <c r="G717" s="381"/>
      <c r="H717" s="381"/>
      <c r="I717" s="381"/>
      <c r="J717" s="381"/>
      <c r="K717" s="381"/>
      <c r="L717" s="381"/>
    </row>
    <row r="718" spans="2:12" ht="15" x14ac:dyDescent="0.25">
      <c r="B718" s="420" t="s">
        <v>1157</v>
      </c>
      <c r="C718" s="366" t="s">
        <v>0</v>
      </c>
      <c r="D718" s="420" t="s">
        <v>183</v>
      </c>
      <c r="E718" s="420" t="s">
        <v>82</v>
      </c>
      <c r="F718" s="517" t="s">
        <v>1</v>
      </c>
      <c r="G718" s="517"/>
      <c r="H718" s="367" t="s">
        <v>3</v>
      </c>
      <c r="I718" s="366" t="s">
        <v>184</v>
      </c>
      <c r="J718" s="366" t="s">
        <v>1426</v>
      </c>
      <c r="K718" s="366" t="s">
        <v>185</v>
      </c>
      <c r="L718" s="366" t="s">
        <v>4</v>
      </c>
    </row>
    <row r="719" spans="2:12" ht="38.25" x14ac:dyDescent="0.25">
      <c r="B719" s="421" t="s">
        <v>7</v>
      </c>
      <c r="C719" s="368" t="s">
        <v>950</v>
      </c>
      <c r="D719" s="421" t="s">
        <v>31</v>
      </c>
      <c r="E719" s="421" t="s">
        <v>951</v>
      </c>
      <c r="F719" s="518" t="s">
        <v>215</v>
      </c>
      <c r="G719" s="518"/>
      <c r="H719" s="369" t="s">
        <v>22</v>
      </c>
      <c r="I719" s="370">
        <v>1</v>
      </c>
      <c r="J719" s="371"/>
      <c r="K719" s="371">
        <v>659.69</v>
      </c>
      <c r="L719" s="371">
        <v>659.69</v>
      </c>
    </row>
    <row r="720" spans="2:12" ht="38.25" x14ac:dyDescent="0.25">
      <c r="B720" s="422" t="s">
        <v>187</v>
      </c>
      <c r="C720" s="372" t="s">
        <v>1158</v>
      </c>
      <c r="D720" s="422" t="s">
        <v>31</v>
      </c>
      <c r="E720" s="422" t="s">
        <v>1159</v>
      </c>
      <c r="F720" s="519" t="s">
        <v>186</v>
      </c>
      <c r="G720" s="519"/>
      <c r="H720" s="373" t="s">
        <v>8</v>
      </c>
      <c r="I720" s="374">
        <v>1.44E-2</v>
      </c>
      <c r="J720" s="374"/>
      <c r="K720" s="375">
        <v>581.86</v>
      </c>
      <c r="L720" s="375">
        <v>8.3699999999999992</v>
      </c>
    </row>
    <row r="721" spans="2:12" ht="38.25" x14ac:dyDescent="0.25">
      <c r="B721" s="422" t="s">
        <v>187</v>
      </c>
      <c r="C721" s="372" t="s">
        <v>216</v>
      </c>
      <c r="D721" s="422" t="s">
        <v>31</v>
      </c>
      <c r="E721" s="422" t="s">
        <v>217</v>
      </c>
      <c r="F721" s="519" t="s">
        <v>186</v>
      </c>
      <c r="G721" s="519"/>
      <c r="H721" s="373" t="s">
        <v>32</v>
      </c>
      <c r="I721" s="374">
        <v>0.53459999999999996</v>
      </c>
      <c r="J721" s="374"/>
      <c r="K721" s="375">
        <v>18.48</v>
      </c>
      <c r="L721" s="375">
        <v>9.8699999999999992</v>
      </c>
    </row>
    <row r="722" spans="2:12" ht="38.25" x14ac:dyDescent="0.25">
      <c r="B722" s="422" t="s">
        <v>187</v>
      </c>
      <c r="C722" s="372" t="s">
        <v>218</v>
      </c>
      <c r="D722" s="422" t="s">
        <v>31</v>
      </c>
      <c r="E722" s="422" t="s">
        <v>219</v>
      </c>
      <c r="F722" s="519" t="s">
        <v>186</v>
      </c>
      <c r="G722" s="519"/>
      <c r="H722" s="373" t="s">
        <v>32</v>
      </c>
      <c r="I722" s="374">
        <v>0.53459999999999996</v>
      </c>
      <c r="J722" s="374"/>
      <c r="K722" s="375">
        <v>22.58</v>
      </c>
      <c r="L722" s="375">
        <v>12.07</v>
      </c>
    </row>
    <row r="723" spans="2:12" ht="38.25" x14ac:dyDescent="0.25">
      <c r="B723" s="423" t="s">
        <v>188</v>
      </c>
      <c r="C723" s="376" t="s">
        <v>1160</v>
      </c>
      <c r="D723" s="423" t="s">
        <v>31</v>
      </c>
      <c r="E723" s="423" t="s">
        <v>1161</v>
      </c>
      <c r="F723" s="515" t="s">
        <v>198</v>
      </c>
      <c r="G723" s="515"/>
      <c r="H723" s="377" t="s">
        <v>22</v>
      </c>
      <c r="I723" s="378">
        <v>1</v>
      </c>
      <c r="J723" s="378"/>
      <c r="K723" s="379">
        <v>629.38</v>
      </c>
      <c r="L723" s="379">
        <v>629.38</v>
      </c>
    </row>
    <row r="724" spans="2:12" ht="15" x14ac:dyDescent="0.25">
      <c r="B724" s="424"/>
      <c r="C724" s="424"/>
      <c r="D724" s="424"/>
      <c r="E724" s="424"/>
      <c r="F724" s="424"/>
      <c r="G724" s="380"/>
      <c r="H724" s="424"/>
      <c r="I724" s="380"/>
      <c r="J724" s="424"/>
      <c r="K724" s="380"/>
      <c r="L724"/>
    </row>
    <row r="725" spans="2:12" ht="15.75" thickBot="1" x14ac:dyDescent="0.3">
      <c r="B725" s="424"/>
      <c r="C725" s="424"/>
      <c r="D725" s="424"/>
      <c r="E725" s="424"/>
      <c r="F725" s="424"/>
      <c r="G725" s="380"/>
      <c r="H725" s="424"/>
      <c r="I725" s="516"/>
      <c r="J725" s="516"/>
      <c r="K725" s="380"/>
      <c r="L725"/>
    </row>
    <row r="726" spans="2:12" ht="13.5" thickTop="1" x14ac:dyDescent="0.25">
      <c r="B726" s="381"/>
      <c r="C726" s="381"/>
      <c r="D726" s="381"/>
      <c r="E726" s="381"/>
      <c r="F726" s="381"/>
      <c r="G726" s="381"/>
      <c r="H726" s="381"/>
      <c r="I726" s="381"/>
      <c r="J726" s="381"/>
      <c r="K726" s="381"/>
      <c r="L726" s="381"/>
    </row>
    <row r="727" spans="2:12" ht="15" x14ac:dyDescent="0.25">
      <c r="B727" s="420" t="s">
        <v>1162</v>
      </c>
      <c r="C727" s="366" t="s">
        <v>0</v>
      </c>
      <c r="D727" s="420" t="s">
        <v>183</v>
      </c>
      <c r="E727" s="420" t="s">
        <v>82</v>
      </c>
      <c r="F727" s="517" t="s">
        <v>1</v>
      </c>
      <c r="G727" s="517"/>
      <c r="H727" s="367" t="s">
        <v>3</v>
      </c>
      <c r="I727" s="366" t="s">
        <v>184</v>
      </c>
      <c r="J727" s="366" t="s">
        <v>1426</v>
      </c>
      <c r="K727" s="366" t="s">
        <v>185</v>
      </c>
      <c r="L727" s="366" t="s">
        <v>4</v>
      </c>
    </row>
    <row r="728" spans="2:12" ht="51" x14ac:dyDescent="0.25">
      <c r="B728" s="421" t="s">
        <v>7</v>
      </c>
      <c r="C728" s="368" t="s">
        <v>1265</v>
      </c>
      <c r="D728" s="421" t="s">
        <v>124</v>
      </c>
      <c r="E728" s="421" t="s">
        <v>1519</v>
      </c>
      <c r="F728" s="518" t="s">
        <v>1122</v>
      </c>
      <c r="G728" s="518"/>
      <c r="H728" s="369" t="s">
        <v>22</v>
      </c>
      <c r="I728" s="370">
        <v>1</v>
      </c>
      <c r="J728" s="371"/>
      <c r="K728" s="371">
        <v>16702.580000000002</v>
      </c>
      <c r="L728" s="371">
        <v>16702.580000000002</v>
      </c>
    </row>
    <row r="729" spans="2:12" ht="38.25" x14ac:dyDescent="0.25">
      <c r="B729" s="422" t="s">
        <v>187</v>
      </c>
      <c r="C729" s="372" t="s">
        <v>218</v>
      </c>
      <c r="D729" s="422" t="s">
        <v>31</v>
      </c>
      <c r="E729" s="422" t="s">
        <v>219</v>
      </c>
      <c r="F729" s="519" t="s">
        <v>186</v>
      </c>
      <c r="G729" s="519"/>
      <c r="H729" s="373" t="s">
        <v>32</v>
      </c>
      <c r="I729" s="374">
        <v>9</v>
      </c>
      <c r="J729" s="374"/>
      <c r="K729" s="375">
        <v>22.58</v>
      </c>
      <c r="L729" s="375">
        <v>203.22</v>
      </c>
    </row>
    <row r="730" spans="2:12" ht="38.25" x14ac:dyDescent="0.25">
      <c r="B730" s="422" t="s">
        <v>187</v>
      </c>
      <c r="C730" s="372" t="s">
        <v>216</v>
      </c>
      <c r="D730" s="422" t="s">
        <v>31</v>
      </c>
      <c r="E730" s="422" t="s">
        <v>217</v>
      </c>
      <c r="F730" s="519" t="s">
        <v>186</v>
      </c>
      <c r="G730" s="519"/>
      <c r="H730" s="373" t="s">
        <v>32</v>
      </c>
      <c r="I730" s="374">
        <v>10</v>
      </c>
      <c r="J730" s="374"/>
      <c r="K730" s="375">
        <v>18.48</v>
      </c>
      <c r="L730" s="375">
        <v>184.8</v>
      </c>
    </row>
    <row r="731" spans="2:12" ht="76.5" x14ac:dyDescent="0.25">
      <c r="B731" s="423" t="s">
        <v>188</v>
      </c>
      <c r="C731" s="376" t="s">
        <v>1310</v>
      </c>
      <c r="D731" s="423" t="s">
        <v>124</v>
      </c>
      <c r="E731" s="423" t="s">
        <v>1311</v>
      </c>
      <c r="F731" s="515" t="s">
        <v>190</v>
      </c>
      <c r="G731" s="515"/>
      <c r="H731" s="377" t="s">
        <v>22</v>
      </c>
      <c r="I731" s="378">
        <v>1</v>
      </c>
      <c r="J731" s="378"/>
      <c r="K731" s="379">
        <v>16314.56</v>
      </c>
      <c r="L731" s="379">
        <v>16314.56</v>
      </c>
    </row>
    <row r="732" spans="2:12" ht="15" x14ac:dyDescent="0.25">
      <c r="B732" s="424"/>
      <c r="C732" s="424"/>
      <c r="D732" s="424"/>
      <c r="E732" s="424"/>
      <c r="F732" s="424"/>
      <c r="G732" s="380"/>
      <c r="H732" s="424"/>
      <c r="I732" s="380"/>
      <c r="J732" s="424"/>
      <c r="K732" s="380"/>
      <c r="L732"/>
    </row>
    <row r="733" spans="2:12" ht="15.75" thickBot="1" x14ac:dyDescent="0.3">
      <c r="B733" s="424"/>
      <c r="C733" s="424"/>
      <c r="D733" s="424"/>
      <c r="E733" s="424"/>
      <c r="F733" s="424"/>
      <c r="G733" s="380"/>
      <c r="H733" s="424"/>
      <c r="I733" s="516"/>
      <c r="J733" s="516"/>
      <c r="K733" s="380"/>
      <c r="L733"/>
    </row>
    <row r="734" spans="2:12" ht="13.5" thickTop="1" x14ac:dyDescent="0.25">
      <c r="B734" s="381"/>
      <c r="C734" s="381"/>
      <c r="D734" s="381"/>
      <c r="E734" s="381"/>
      <c r="F734" s="381"/>
      <c r="G734" s="381"/>
      <c r="H734" s="381"/>
      <c r="I734" s="381"/>
      <c r="J734" s="381"/>
      <c r="K734" s="381"/>
      <c r="L734" s="381"/>
    </row>
    <row r="735" spans="2:12" ht="15" x14ac:dyDescent="0.25">
      <c r="B735" s="420" t="s">
        <v>1166</v>
      </c>
      <c r="C735" s="366" t="s">
        <v>0</v>
      </c>
      <c r="D735" s="420" t="s">
        <v>183</v>
      </c>
      <c r="E735" s="420" t="s">
        <v>82</v>
      </c>
      <c r="F735" s="517" t="s">
        <v>1</v>
      </c>
      <c r="G735" s="517"/>
      <c r="H735" s="367" t="s">
        <v>3</v>
      </c>
      <c r="I735" s="366" t="s">
        <v>184</v>
      </c>
      <c r="J735" s="366" t="s">
        <v>1426</v>
      </c>
      <c r="K735" s="366" t="s">
        <v>185</v>
      </c>
      <c r="L735" s="366" t="s">
        <v>4</v>
      </c>
    </row>
    <row r="736" spans="2:12" ht="25.5" x14ac:dyDescent="0.25">
      <c r="B736" s="421" t="s">
        <v>7</v>
      </c>
      <c r="C736" s="368" t="s">
        <v>752</v>
      </c>
      <c r="D736" s="421" t="s">
        <v>31</v>
      </c>
      <c r="E736" s="421" t="s">
        <v>753</v>
      </c>
      <c r="F736" s="518" t="s">
        <v>250</v>
      </c>
      <c r="G736" s="518"/>
      <c r="H736" s="369" t="s">
        <v>35</v>
      </c>
      <c r="I736" s="370">
        <v>1</v>
      </c>
      <c r="J736" s="371"/>
      <c r="K736" s="371">
        <v>3.81</v>
      </c>
      <c r="L736" s="371">
        <v>3.81</v>
      </c>
    </row>
    <row r="737" spans="2:12" ht="38.25" x14ac:dyDescent="0.25">
      <c r="B737" s="422" t="s">
        <v>187</v>
      </c>
      <c r="C737" s="372" t="s">
        <v>216</v>
      </c>
      <c r="D737" s="422" t="s">
        <v>31</v>
      </c>
      <c r="E737" s="422" t="s">
        <v>217</v>
      </c>
      <c r="F737" s="519" t="s">
        <v>186</v>
      </c>
      <c r="G737" s="519"/>
      <c r="H737" s="373" t="s">
        <v>32</v>
      </c>
      <c r="I737" s="374">
        <v>4.4999999999999997E-3</v>
      </c>
      <c r="J737" s="374"/>
      <c r="K737" s="375">
        <v>18.48</v>
      </c>
      <c r="L737" s="375">
        <v>0.08</v>
      </c>
    </row>
    <row r="738" spans="2:12" ht="38.25" x14ac:dyDescent="0.25">
      <c r="B738" s="422" t="s">
        <v>187</v>
      </c>
      <c r="C738" s="372" t="s">
        <v>218</v>
      </c>
      <c r="D738" s="422" t="s">
        <v>31</v>
      </c>
      <c r="E738" s="422" t="s">
        <v>219</v>
      </c>
      <c r="F738" s="519" t="s">
        <v>186</v>
      </c>
      <c r="G738" s="519"/>
      <c r="H738" s="373" t="s">
        <v>32</v>
      </c>
      <c r="I738" s="374">
        <v>4.4999999999999997E-3</v>
      </c>
      <c r="J738" s="374"/>
      <c r="K738" s="375">
        <v>22.58</v>
      </c>
      <c r="L738" s="375">
        <v>0.1</v>
      </c>
    </row>
    <row r="739" spans="2:12" ht="38.25" x14ac:dyDescent="0.25">
      <c r="B739" s="423" t="s">
        <v>188</v>
      </c>
      <c r="C739" s="376" t="s">
        <v>825</v>
      </c>
      <c r="D739" s="423" t="s">
        <v>31</v>
      </c>
      <c r="E739" s="423" t="s">
        <v>826</v>
      </c>
      <c r="F739" s="515" t="s">
        <v>198</v>
      </c>
      <c r="G739" s="515"/>
      <c r="H739" s="377" t="s">
        <v>35</v>
      </c>
      <c r="I739" s="378">
        <v>1.05</v>
      </c>
      <c r="J739" s="378"/>
      <c r="K739" s="379">
        <v>3.46</v>
      </c>
      <c r="L739" s="379">
        <v>3.63</v>
      </c>
    </row>
    <row r="740" spans="2:12" ht="15" x14ac:dyDescent="0.25">
      <c r="B740" s="424"/>
      <c r="C740" s="424"/>
      <c r="D740" s="424"/>
      <c r="E740" s="424"/>
      <c r="F740" s="424"/>
      <c r="G740" s="380"/>
      <c r="H740" s="424"/>
      <c r="I740" s="380"/>
      <c r="J740" s="424"/>
      <c r="K740" s="380"/>
      <c r="L740"/>
    </row>
    <row r="741" spans="2:12" ht="15.75" thickBot="1" x14ac:dyDescent="0.3">
      <c r="B741" s="424"/>
      <c r="C741" s="424"/>
      <c r="D741" s="424"/>
      <c r="E741" s="424"/>
      <c r="F741" s="424"/>
      <c r="G741" s="380"/>
      <c r="H741" s="424"/>
      <c r="I741" s="516"/>
      <c r="J741" s="516"/>
      <c r="K741" s="380"/>
      <c r="L741"/>
    </row>
    <row r="742" spans="2:12" ht="13.5" thickTop="1" x14ac:dyDescent="0.25">
      <c r="B742" s="381"/>
      <c r="C742" s="381"/>
      <c r="D742" s="381"/>
      <c r="E742" s="381"/>
      <c r="F742" s="381"/>
      <c r="G742" s="381"/>
      <c r="H742" s="381"/>
      <c r="I742" s="381"/>
      <c r="J742" s="381"/>
      <c r="K742" s="381"/>
      <c r="L742" s="381"/>
    </row>
    <row r="743" spans="2:12" ht="15" x14ac:dyDescent="0.25">
      <c r="B743" s="420" t="s">
        <v>958</v>
      </c>
      <c r="C743" s="366" t="s">
        <v>0</v>
      </c>
      <c r="D743" s="420" t="s">
        <v>183</v>
      </c>
      <c r="E743" s="420" t="s">
        <v>82</v>
      </c>
      <c r="F743" s="517" t="s">
        <v>1</v>
      </c>
      <c r="G743" s="517"/>
      <c r="H743" s="367" t="s">
        <v>3</v>
      </c>
      <c r="I743" s="366" t="s">
        <v>184</v>
      </c>
      <c r="J743" s="366" t="s">
        <v>1426</v>
      </c>
      <c r="K743" s="366" t="s">
        <v>185</v>
      </c>
      <c r="L743" s="366" t="s">
        <v>4</v>
      </c>
    </row>
    <row r="744" spans="2:12" ht="25.5" x14ac:dyDescent="0.25">
      <c r="B744" s="421" t="s">
        <v>7</v>
      </c>
      <c r="C744" s="368" t="s">
        <v>841</v>
      </c>
      <c r="D744" s="421" t="s">
        <v>842</v>
      </c>
      <c r="E744" s="421" t="s">
        <v>843</v>
      </c>
      <c r="F744" s="518" t="s">
        <v>1064</v>
      </c>
      <c r="G744" s="518"/>
      <c r="H744" s="369" t="s">
        <v>22</v>
      </c>
      <c r="I744" s="370">
        <v>1</v>
      </c>
      <c r="J744" s="371"/>
      <c r="K744" s="371">
        <v>10.17</v>
      </c>
      <c r="L744" s="371">
        <v>10.17</v>
      </c>
    </row>
    <row r="745" spans="2:12" ht="25.5" x14ac:dyDescent="0.25">
      <c r="B745" s="423" t="s">
        <v>188</v>
      </c>
      <c r="C745" s="376" t="s">
        <v>1065</v>
      </c>
      <c r="D745" s="423" t="s">
        <v>842</v>
      </c>
      <c r="E745" s="423" t="s">
        <v>1066</v>
      </c>
      <c r="F745" s="515" t="s">
        <v>189</v>
      </c>
      <c r="G745" s="515"/>
      <c r="H745" s="377" t="s">
        <v>32</v>
      </c>
      <c r="I745" s="378">
        <v>0.13</v>
      </c>
      <c r="J745" s="378"/>
      <c r="K745" s="379">
        <v>15.53</v>
      </c>
      <c r="L745" s="379">
        <v>2.0099999999999998</v>
      </c>
    </row>
    <row r="746" spans="2:12" ht="25.5" x14ac:dyDescent="0.25">
      <c r="B746" s="423" t="s">
        <v>188</v>
      </c>
      <c r="C746" s="376" t="s">
        <v>1067</v>
      </c>
      <c r="D746" s="423" t="s">
        <v>842</v>
      </c>
      <c r="E746" s="423" t="s">
        <v>223</v>
      </c>
      <c r="F746" s="515" t="s">
        <v>189</v>
      </c>
      <c r="G746" s="515"/>
      <c r="H746" s="377" t="s">
        <v>32</v>
      </c>
      <c r="I746" s="378">
        <v>0.13</v>
      </c>
      <c r="J746" s="378"/>
      <c r="K746" s="379">
        <v>22.11</v>
      </c>
      <c r="L746" s="379">
        <v>2.87</v>
      </c>
    </row>
    <row r="747" spans="2:12" ht="25.5" x14ac:dyDescent="0.25">
      <c r="B747" s="423" t="s">
        <v>188</v>
      </c>
      <c r="C747" s="376" t="s">
        <v>1068</v>
      </c>
      <c r="D747" s="423" t="s">
        <v>842</v>
      </c>
      <c r="E747" s="423" t="s">
        <v>1069</v>
      </c>
      <c r="F747" s="515" t="s">
        <v>198</v>
      </c>
      <c r="G747" s="515"/>
      <c r="H747" s="377" t="s">
        <v>22</v>
      </c>
      <c r="I747" s="378">
        <v>1</v>
      </c>
      <c r="J747" s="378"/>
      <c r="K747" s="379">
        <v>1.48</v>
      </c>
      <c r="L747" s="379">
        <v>1.48</v>
      </c>
    </row>
    <row r="748" spans="2:12" ht="25.5" x14ac:dyDescent="0.25">
      <c r="B748" s="423" t="s">
        <v>188</v>
      </c>
      <c r="C748" s="376" t="s">
        <v>1070</v>
      </c>
      <c r="D748" s="423" t="s">
        <v>842</v>
      </c>
      <c r="E748" s="423" t="s">
        <v>1071</v>
      </c>
      <c r="F748" s="515" t="s">
        <v>198</v>
      </c>
      <c r="G748" s="515"/>
      <c r="H748" s="377" t="s">
        <v>22</v>
      </c>
      <c r="I748" s="378">
        <v>1</v>
      </c>
      <c r="J748" s="378"/>
      <c r="K748" s="379">
        <v>0.22</v>
      </c>
      <c r="L748" s="379">
        <v>0.22</v>
      </c>
    </row>
    <row r="749" spans="2:12" ht="25.5" x14ac:dyDescent="0.25">
      <c r="B749" s="423" t="s">
        <v>188</v>
      </c>
      <c r="C749" s="376" t="s">
        <v>1072</v>
      </c>
      <c r="D749" s="423" t="s">
        <v>842</v>
      </c>
      <c r="E749" s="423" t="s">
        <v>1073</v>
      </c>
      <c r="F749" s="515" t="s">
        <v>198</v>
      </c>
      <c r="G749" s="515"/>
      <c r="H749" s="377" t="s">
        <v>22</v>
      </c>
      <c r="I749" s="378">
        <v>1</v>
      </c>
      <c r="J749" s="378"/>
      <c r="K749" s="379">
        <v>3.52</v>
      </c>
      <c r="L749" s="379">
        <v>3.52</v>
      </c>
    </row>
    <row r="750" spans="2:12" ht="25.5" x14ac:dyDescent="0.25">
      <c r="B750" s="423" t="s">
        <v>188</v>
      </c>
      <c r="C750" s="376" t="s">
        <v>1074</v>
      </c>
      <c r="D750" s="423" t="s">
        <v>842</v>
      </c>
      <c r="E750" s="423" t="s">
        <v>1075</v>
      </c>
      <c r="F750" s="515" t="s">
        <v>198</v>
      </c>
      <c r="G750" s="515"/>
      <c r="H750" s="377" t="s">
        <v>22</v>
      </c>
      <c r="I750" s="378">
        <v>1</v>
      </c>
      <c r="J750" s="378"/>
      <c r="K750" s="379">
        <v>7.0000000000000007E-2</v>
      </c>
      <c r="L750" s="379">
        <v>7.0000000000000007E-2</v>
      </c>
    </row>
    <row r="751" spans="2:12" ht="15" x14ac:dyDescent="0.25">
      <c r="B751" s="424"/>
      <c r="C751" s="424"/>
      <c r="D751" s="424"/>
      <c r="E751" s="424"/>
      <c r="F751" s="424"/>
      <c r="G751" s="380"/>
      <c r="H751" s="424"/>
      <c r="I751" s="380"/>
      <c r="J751" s="424"/>
      <c r="K751" s="380"/>
      <c r="L751"/>
    </row>
    <row r="752" spans="2:12" ht="15.75" thickBot="1" x14ac:dyDescent="0.3">
      <c r="B752" s="424"/>
      <c r="C752" s="424"/>
      <c r="D752" s="424"/>
      <c r="E752" s="424"/>
      <c r="F752" s="424"/>
      <c r="G752" s="380"/>
      <c r="H752" s="424"/>
      <c r="I752" s="516"/>
      <c r="J752" s="516"/>
      <c r="K752" s="380"/>
      <c r="L752"/>
    </row>
    <row r="753" spans="2:12" ht="13.5" thickTop="1" x14ac:dyDescent="0.25">
      <c r="B753" s="381"/>
      <c r="C753" s="381"/>
      <c r="D753" s="381"/>
      <c r="E753" s="381"/>
      <c r="F753" s="381"/>
      <c r="G753" s="381"/>
      <c r="H753" s="381"/>
      <c r="I753" s="381"/>
      <c r="J753" s="381"/>
      <c r="K753" s="381"/>
      <c r="L753" s="381"/>
    </row>
    <row r="754" spans="2:12" ht="15" x14ac:dyDescent="0.25">
      <c r="B754" s="420" t="s">
        <v>959</v>
      </c>
      <c r="C754" s="366" t="s">
        <v>0</v>
      </c>
      <c r="D754" s="420" t="s">
        <v>183</v>
      </c>
      <c r="E754" s="420" t="s">
        <v>82</v>
      </c>
      <c r="F754" s="517" t="s">
        <v>1</v>
      </c>
      <c r="G754" s="517"/>
      <c r="H754" s="367" t="s">
        <v>3</v>
      </c>
      <c r="I754" s="366" t="s">
        <v>184</v>
      </c>
      <c r="J754" s="366" t="s">
        <v>1426</v>
      </c>
      <c r="K754" s="366" t="s">
        <v>185</v>
      </c>
      <c r="L754" s="366" t="s">
        <v>4</v>
      </c>
    </row>
    <row r="755" spans="2:12" ht="25.5" x14ac:dyDescent="0.25">
      <c r="B755" s="421" t="s">
        <v>7</v>
      </c>
      <c r="C755" s="368" t="s">
        <v>746</v>
      </c>
      <c r="D755" s="421" t="s">
        <v>124</v>
      </c>
      <c r="E755" s="421" t="s">
        <v>440</v>
      </c>
      <c r="F755" s="518">
        <v>63</v>
      </c>
      <c r="G755" s="518"/>
      <c r="H755" s="369" t="s">
        <v>22</v>
      </c>
      <c r="I755" s="370">
        <v>1</v>
      </c>
      <c r="J755" s="371"/>
      <c r="K755" s="371">
        <v>12.62</v>
      </c>
      <c r="L755" s="371">
        <v>12.62</v>
      </c>
    </row>
    <row r="756" spans="2:12" ht="38.25" x14ac:dyDescent="0.25">
      <c r="B756" s="422" t="s">
        <v>187</v>
      </c>
      <c r="C756" s="372" t="s">
        <v>218</v>
      </c>
      <c r="D756" s="422" t="s">
        <v>31</v>
      </c>
      <c r="E756" s="422" t="s">
        <v>219</v>
      </c>
      <c r="F756" s="519" t="s">
        <v>186</v>
      </c>
      <c r="G756" s="519"/>
      <c r="H756" s="373" t="s">
        <v>32</v>
      </c>
      <c r="I756" s="374">
        <v>0.26</v>
      </c>
      <c r="J756" s="374"/>
      <c r="K756" s="375">
        <v>22.58</v>
      </c>
      <c r="L756" s="375">
        <v>5.87</v>
      </c>
    </row>
    <row r="757" spans="2:12" ht="38.25" x14ac:dyDescent="0.25">
      <c r="B757" s="422" t="s">
        <v>187</v>
      </c>
      <c r="C757" s="372" t="s">
        <v>216</v>
      </c>
      <c r="D757" s="422" t="s">
        <v>31</v>
      </c>
      <c r="E757" s="422" t="s">
        <v>217</v>
      </c>
      <c r="F757" s="519" t="s">
        <v>186</v>
      </c>
      <c r="G757" s="519"/>
      <c r="H757" s="373" t="s">
        <v>32</v>
      </c>
      <c r="I757" s="374">
        <v>0.26</v>
      </c>
      <c r="J757" s="374"/>
      <c r="K757" s="375">
        <v>18.48</v>
      </c>
      <c r="L757" s="375">
        <v>4.8</v>
      </c>
    </row>
    <row r="758" spans="2:12" x14ac:dyDescent="0.25">
      <c r="B758" s="423" t="s">
        <v>188</v>
      </c>
      <c r="C758" s="376" t="s">
        <v>804</v>
      </c>
      <c r="D758" s="423" t="s">
        <v>212</v>
      </c>
      <c r="E758" s="423" t="s">
        <v>805</v>
      </c>
      <c r="F758" s="515" t="s">
        <v>198</v>
      </c>
      <c r="G758" s="515"/>
      <c r="H758" s="377" t="s">
        <v>22</v>
      </c>
      <c r="I758" s="378">
        <v>1</v>
      </c>
      <c r="J758" s="378"/>
      <c r="K758" s="379">
        <v>1.95</v>
      </c>
      <c r="L758" s="379">
        <v>1.95</v>
      </c>
    </row>
    <row r="759" spans="2:12" ht="15" x14ac:dyDescent="0.25">
      <c r="B759" s="424"/>
      <c r="C759" s="424"/>
      <c r="D759" s="424"/>
      <c r="E759" s="424"/>
      <c r="F759" s="424"/>
      <c r="G759" s="380"/>
      <c r="H759" s="424"/>
      <c r="I759" s="380"/>
      <c r="J759" s="424"/>
      <c r="K759" s="380"/>
      <c r="L759"/>
    </row>
    <row r="760" spans="2:12" ht="15.75" thickBot="1" x14ac:dyDescent="0.3">
      <c r="B760" s="424"/>
      <c r="C760" s="424"/>
      <c r="D760" s="424"/>
      <c r="E760" s="424"/>
      <c r="F760" s="424"/>
      <c r="G760" s="380"/>
      <c r="H760" s="424"/>
      <c r="I760" s="516"/>
      <c r="J760" s="516"/>
      <c r="K760" s="380"/>
      <c r="L760"/>
    </row>
    <row r="761" spans="2:12" ht="13.5" thickTop="1" x14ac:dyDescent="0.25">
      <c r="B761" s="381"/>
      <c r="C761" s="381"/>
      <c r="D761" s="381"/>
      <c r="E761" s="381"/>
      <c r="F761" s="381"/>
      <c r="G761" s="381"/>
      <c r="H761" s="381"/>
      <c r="I761" s="381"/>
      <c r="J761" s="381"/>
      <c r="K761" s="381"/>
      <c r="L761" s="381"/>
    </row>
    <row r="762" spans="2:12" ht="15" x14ac:dyDescent="0.25">
      <c r="B762" s="420" t="s">
        <v>960</v>
      </c>
      <c r="C762" s="366" t="s">
        <v>0</v>
      </c>
      <c r="D762" s="420" t="s">
        <v>183</v>
      </c>
      <c r="E762" s="420" t="s">
        <v>82</v>
      </c>
      <c r="F762" s="517" t="s">
        <v>1</v>
      </c>
      <c r="G762" s="517"/>
      <c r="H762" s="367" t="s">
        <v>3</v>
      </c>
      <c r="I762" s="366" t="s">
        <v>184</v>
      </c>
      <c r="J762" s="366" t="s">
        <v>1426</v>
      </c>
      <c r="K762" s="366" t="s">
        <v>185</v>
      </c>
      <c r="L762" s="366" t="s">
        <v>4</v>
      </c>
    </row>
    <row r="763" spans="2:12" ht="25.5" x14ac:dyDescent="0.25">
      <c r="B763" s="421" t="s">
        <v>7</v>
      </c>
      <c r="C763" s="368" t="s">
        <v>747</v>
      </c>
      <c r="D763" s="421" t="s">
        <v>124</v>
      </c>
      <c r="E763" s="421" t="s">
        <v>443</v>
      </c>
      <c r="F763" s="518">
        <v>63</v>
      </c>
      <c r="G763" s="518"/>
      <c r="H763" s="369" t="s">
        <v>22</v>
      </c>
      <c r="I763" s="370">
        <v>1</v>
      </c>
      <c r="J763" s="371"/>
      <c r="K763" s="371">
        <v>5.29</v>
      </c>
      <c r="L763" s="371">
        <v>5.29</v>
      </c>
    </row>
    <row r="764" spans="2:12" ht="38.25" x14ac:dyDescent="0.25">
      <c r="B764" s="422" t="s">
        <v>187</v>
      </c>
      <c r="C764" s="372" t="s">
        <v>218</v>
      </c>
      <c r="D764" s="422" t="s">
        <v>31</v>
      </c>
      <c r="E764" s="422" t="s">
        <v>219</v>
      </c>
      <c r="F764" s="519" t="s">
        <v>186</v>
      </c>
      <c r="G764" s="519"/>
      <c r="H764" s="373" t="s">
        <v>32</v>
      </c>
      <c r="I764" s="374">
        <v>0.1</v>
      </c>
      <c r="J764" s="374"/>
      <c r="K764" s="375">
        <v>22.58</v>
      </c>
      <c r="L764" s="375">
        <v>2.25</v>
      </c>
    </row>
    <row r="765" spans="2:12" ht="38.25" x14ac:dyDescent="0.25">
      <c r="B765" s="422" t="s">
        <v>187</v>
      </c>
      <c r="C765" s="372" t="s">
        <v>216</v>
      </c>
      <c r="D765" s="422" t="s">
        <v>31</v>
      </c>
      <c r="E765" s="422" t="s">
        <v>217</v>
      </c>
      <c r="F765" s="519" t="s">
        <v>186</v>
      </c>
      <c r="G765" s="519"/>
      <c r="H765" s="373" t="s">
        <v>32</v>
      </c>
      <c r="I765" s="374">
        <v>0.1</v>
      </c>
      <c r="J765" s="374"/>
      <c r="K765" s="375">
        <v>18.48</v>
      </c>
      <c r="L765" s="375">
        <v>1.84</v>
      </c>
    </row>
    <row r="766" spans="2:12" x14ac:dyDescent="0.25">
      <c r="B766" s="423" t="s">
        <v>188</v>
      </c>
      <c r="C766" s="376" t="s">
        <v>806</v>
      </c>
      <c r="D766" s="423" t="s">
        <v>175</v>
      </c>
      <c r="E766" s="423" t="s">
        <v>807</v>
      </c>
      <c r="F766" s="515" t="s">
        <v>198</v>
      </c>
      <c r="G766" s="515"/>
      <c r="H766" s="377" t="s">
        <v>225</v>
      </c>
      <c r="I766" s="378">
        <v>1</v>
      </c>
      <c r="J766" s="378"/>
      <c r="K766" s="379">
        <v>1.2</v>
      </c>
      <c r="L766" s="379">
        <v>1.2</v>
      </c>
    </row>
    <row r="767" spans="2:12" ht="15" x14ac:dyDescent="0.25">
      <c r="B767" s="424"/>
      <c r="C767" s="424"/>
      <c r="D767" s="424"/>
      <c r="E767" s="424"/>
      <c r="F767" s="424"/>
      <c r="G767" s="380"/>
      <c r="H767" s="424"/>
      <c r="I767" s="380"/>
      <c r="J767" s="424"/>
      <c r="K767" s="380"/>
      <c r="L767"/>
    </row>
    <row r="768" spans="2:12" ht="15.75" thickBot="1" x14ac:dyDescent="0.3">
      <c r="B768" s="424"/>
      <c r="C768" s="424"/>
      <c r="D768" s="424"/>
      <c r="E768" s="424"/>
      <c r="F768" s="424"/>
      <c r="G768" s="380"/>
      <c r="H768" s="424"/>
      <c r="I768" s="516"/>
      <c r="J768" s="516"/>
      <c r="K768" s="380"/>
      <c r="L768"/>
    </row>
    <row r="769" spans="2:12" ht="13.5" thickTop="1" x14ac:dyDescent="0.25">
      <c r="B769" s="381"/>
      <c r="C769" s="381"/>
      <c r="D769" s="381"/>
      <c r="E769" s="381"/>
      <c r="F769" s="381"/>
      <c r="G769" s="381"/>
      <c r="H769" s="381"/>
      <c r="I769" s="381"/>
      <c r="J769" s="381"/>
      <c r="K769" s="381"/>
      <c r="L769" s="381"/>
    </row>
    <row r="770" spans="2:12" ht="15" x14ac:dyDescent="0.25">
      <c r="B770" s="420" t="s">
        <v>1588</v>
      </c>
      <c r="C770" s="366" t="s">
        <v>0</v>
      </c>
      <c r="D770" s="420" t="s">
        <v>183</v>
      </c>
      <c r="E770" s="420" t="s">
        <v>82</v>
      </c>
      <c r="F770" s="517" t="s">
        <v>1</v>
      </c>
      <c r="G770" s="517"/>
      <c r="H770" s="367" t="s">
        <v>3</v>
      </c>
      <c r="I770" s="366" t="s">
        <v>184</v>
      </c>
      <c r="J770" s="366" t="s">
        <v>1426</v>
      </c>
      <c r="K770" s="366" t="s">
        <v>185</v>
      </c>
      <c r="L770" s="366" t="s">
        <v>4</v>
      </c>
    </row>
    <row r="771" spans="2:12" ht="25.5" x14ac:dyDescent="0.25">
      <c r="B771" s="421" t="s">
        <v>7</v>
      </c>
      <c r="C771" s="368" t="s">
        <v>964</v>
      </c>
      <c r="D771" s="421" t="s">
        <v>212</v>
      </c>
      <c r="E771" s="421" t="s">
        <v>965</v>
      </c>
      <c r="F771" s="518" t="s">
        <v>1283</v>
      </c>
      <c r="G771" s="518"/>
      <c r="H771" s="369" t="s">
        <v>22</v>
      </c>
      <c r="I771" s="370">
        <v>1</v>
      </c>
      <c r="J771" s="371"/>
      <c r="K771" s="371">
        <v>41.33</v>
      </c>
      <c r="L771" s="371">
        <v>41.33</v>
      </c>
    </row>
    <row r="772" spans="2:12" ht="38.25" x14ac:dyDescent="0.25">
      <c r="B772" s="422" t="s">
        <v>187</v>
      </c>
      <c r="C772" s="372" t="s">
        <v>218</v>
      </c>
      <c r="D772" s="422" t="s">
        <v>31</v>
      </c>
      <c r="E772" s="422" t="s">
        <v>219</v>
      </c>
      <c r="F772" s="519" t="s">
        <v>186</v>
      </c>
      <c r="G772" s="519"/>
      <c r="H772" s="373" t="s">
        <v>32</v>
      </c>
      <c r="I772" s="374">
        <v>0.47799999999999998</v>
      </c>
      <c r="J772" s="374"/>
      <c r="K772" s="375">
        <v>22.58</v>
      </c>
      <c r="L772" s="375">
        <v>10.79</v>
      </c>
    </row>
    <row r="773" spans="2:12" ht="38.25" x14ac:dyDescent="0.25">
      <c r="B773" s="422" t="s">
        <v>187</v>
      </c>
      <c r="C773" s="372" t="s">
        <v>216</v>
      </c>
      <c r="D773" s="422" t="s">
        <v>31</v>
      </c>
      <c r="E773" s="422" t="s">
        <v>217</v>
      </c>
      <c r="F773" s="519" t="s">
        <v>186</v>
      </c>
      <c r="G773" s="519"/>
      <c r="H773" s="373" t="s">
        <v>32</v>
      </c>
      <c r="I773" s="374">
        <v>0.47799999999999998</v>
      </c>
      <c r="J773" s="374"/>
      <c r="K773" s="375">
        <v>18.48</v>
      </c>
      <c r="L773" s="375">
        <v>8.83</v>
      </c>
    </row>
    <row r="774" spans="2:12" x14ac:dyDescent="0.25">
      <c r="B774" s="423" t="s">
        <v>188</v>
      </c>
      <c r="C774" s="376" t="s">
        <v>1167</v>
      </c>
      <c r="D774" s="423" t="s">
        <v>212</v>
      </c>
      <c r="E774" s="423" t="s">
        <v>1168</v>
      </c>
      <c r="F774" s="515" t="s">
        <v>198</v>
      </c>
      <c r="G774" s="515"/>
      <c r="H774" s="377" t="s">
        <v>22</v>
      </c>
      <c r="I774" s="378">
        <v>1</v>
      </c>
      <c r="J774" s="378"/>
      <c r="K774" s="379">
        <v>21.71</v>
      </c>
      <c r="L774" s="379">
        <v>21.71</v>
      </c>
    </row>
    <row r="775" spans="2:12" ht="15" x14ac:dyDescent="0.25">
      <c r="B775" s="424"/>
      <c r="C775" s="424"/>
      <c r="D775" s="424"/>
      <c r="E775" s="424"/>
      <c r="F775" s="424"/>
      <c r="G775" s="380"/>
      <c r="H775" s="424"/>
      <c r="I775" s="380"/>
      <c r="J775" s="424"/>
      <c r="K775" s="380"/>
      <c r="L775"/>
    </row>
    <row r="776" spans="2:12" ht="15.75" thickBot="1" x14ac:dyDescent="0.3">
      <c r="B776" s="424"/>
      <c r="C776" s="424"/>
      <c r="D776" s="424"/>
      <c r="E776" s="424"/>
      <c r="F776" s="424"/>
      <c r="G776" s="380"/>
      <c r="H776" s="424"/>
      <c r="I776" s="516"/>
      <c r="J776" s="516"/>
      <c r="K776" s="380"/>
      <c r="L776"/>
    </row>
    <row r="777" spans="2:12" ht="13.5" thickTop="1" x14ac:dyDescent="0.25">
      <c r="B777" s="381"/>
      <c r="C777" s="381"/>
      <c r="D777" s="381"/>
      <c r="E777" s="381"/>
      <c r="F777" s="381"/>
      <c r="G777" s="381"/>
      <c r="H777" s="381"/>
      <c r="I777" s="381"/>
      <c r="J777" s="381"/>
      <c r="K777" s="381"/>
      <c r="L777" s="381"/>
    </row>
    <row r="778" spans="2:12" ht="15" x14ac:dyDescent="0.25">
      <c r="B778" s="420" t="s">
        <v>1589</v>
      </c>
      <c r="C778" s="366" t="s">
        <v>0</v>
      </c>
      <c r="D778" s="420" t="s">
        <v>183</v>
      </c>
      <c r="E778" s="420" t="s">
        <v>82</v>
      </c>
      <c r="F778" s="517" t="s">
        <v>1</v>
      </c>
      <c r="G778" s="517"/>
      <c r="H778" s="367" t="s">
        <v>3</v>
      </c>
      <c r="I778" s="366" t="s">
        <v>184</v>
      </c>
      <c r="J778" s="366" t="s">
        <v>1426</v>
      </c>
      <c r="K778" s="366" t="s">
        <v>185</v>
      </c>
      <c r="L778" s="366" t="s">
        <v>4</v>
      </c>
    </row>
    <row r="779" spans="2:12" ht="25.5" x14ac:dyDescent="0.25">
      <c r="B779" s="421" t="s">
        <v>7</v>
      </c>
      <c r="C779" s="368" t="s">
        <v>966</v>
      </c>
      <c r="D779" s="421" t="s">
        <v>212</v>
      </c>
      <c r="E779" s="421" t="s">
        <v>967</v>
      </c>
      <c r="F779" s="518" t="s">
        <v>1284</v>
      </c>
      <c r="G779" s="518"/>
      <c r="H779" s="369" t="s">
        <v>22</v>
      </c>
      <c r="I779" s="370">
        <v>1</v>
      </c>
      <c r="J779" s="371"/>
      <c r="K779" s="371">
        <v>37.14</v>
      </c>
      <c r="L779" s="371">
        <v>37.14</v>
      </c>
    </row>
    <row r="780" spans="2:12" ht="38.25" x14ac:dyDescent="0.25">
      <c r="B780" s="422" t="s">
        <v>187</v>
      </c>
      <c r="C780" s="372" t="s">
        <v>216</v>
      </c>
      <c r="D780" s="422" t="s">
        <v>31</v>
      </c>
      <c r="E780" s="422" t="s">
        <v>217</v>
      </c>
      <c r="F780" s="519" t="s">
        <v>186</v>
      </c>
      <c r="G780" s="519"/>
      <c r="H780" s="373" t="s">
        <v>32</v>
      </c>
      <c r="I780" s="374">
        <v>0.47799999999999998</v>
      </c>
      <c r="J780" s="374"/>
      <c r="K780" s="375">
        <v>18.48</v>
      </c>
      <c r="L780" s="375">
        <v>8.83</v>
      </c>
    </row>
    <row r="781" spans="2:12" ht="38.25" x14ac:dyDescent="0.25">
      <c r="B781" s="422" t="s">
        <v>187</v>
      </c>
      <c r="C781" s="372" t="s">
        <v>218</v>
      </c>
      <c r="D781" s="422" t="s">
        <v>31</v>
      </c>
      <c r="E781" s="422" t="s">
        <v>219</v>
      </c>
      <c r="F781" s="519" t="s">
        <v>186</v>
      </c>
      <c r="G781" s="519"/>
      <c r="H781" s="373" t="s">
        <v>32</v>
      </c>
      <c r="I781" s="374">
        <v>0.47799999999999998</v>
      </c>
      <c r="J781" s="374"/>
      <c r="K781" s="375">
        <v>22.58</v>
      </c>
      <c r="L781" s="375">
        <v>10.79</v>
      </c>
    </row>
    <row r="782" spans="2:12" x14ac:dyDescent="0.25">
      <c r="B782" s="423" t="s">
        <v>188</v>
      </c>
      <c r="C782" s="376" t="s">
        <v>1169</v>
      </c>
      <c r="D782" s="423" t="s">
        <v>212</v>
      </c>
      <c r="E782" s="423" t="s">
        <v>1170</v>
      </c>
      <c r="F782" s="515" t="s">
        <v>198</v>
      </c>
      <c r="G782" s="515"/>
      <c r="H782" s="377" t="s">
        <v>22</v>
      </c>
      <c r="I782" s="378">
        <v>1</v>
      </c>
      <c r="J782" s="378"/>
      <c r="K782" s="379">
        <v>17.52</v>
      </c>
      <c r="L782" s="379">
        <v>17.52</v>
      </c>
    </row>
    <row r="783" spans="2:12" ht="15" x14ac:dyDescent="0.25">
      <c r="B783" s="424"/>
      <c r="C783" s="424"/>
      <c r="D783" s="424"/>
      <c r="E783" s="424"/>
      <c r="F783" s="424"/>
      <c r="G783" s="380"/>
      <c r="H783" s="424"/>
      <c r="I783" s="380"/>
      <c r="J783" s="424"/>
      <c r="K783" s="380"/>
      <c r="L783"/>
    </row>
    <row r="784" spans="2:12" ht="15.75" thickBot="1" x14ac:dyDescent="0.3">
      <c r="B784" s="424"/>
      <c r="C784" s="424"/>
      <c r="D784" s="424"/>
      <c r="E784" s="424"/>
      <c r="F784" s="424"/>
      <c r="G784" s="380"/>
      <c r="H784" s="424"/>
      <c r="I784" s="516"/>
      <c r="J784" s="516"/>
      <c r="K784" s="380"/>
      <c r="L784"/>
    </row>
    <row r="785" spans="2:12" ht="13.5" thickTop="1" x14ac:dyDescent="0.25">
      <c r="B785" s="381"/>
      <c r="C785" s="381"/>
      <c r="D785" s="381"/>
      <c r="E785" s="381"/>
      <c r="F785" s="381"/>
      <c r="G785" s="381"/>
      <c r="H785" s="381"/>
      <c r="I785" s="381"/>
      <c r="J785" s="381"/>
      <c r="K785" s="381"/>
      <c r="L785" s="381"/>
    </row>
    <row r="786" spans="2:12" ht="15" x14ac:dyDescent="0.25">
      <c r="B786" s="420" t="s">
        <v>1520</v>
      </c>
      <c r="C786" s="366" t="s">
        <v>0</v>
      </c>
      <c r="D786" s="420" t="s">
        <v>183</v>
      </c>
      <c r="E786" s="420" t="s">
        <v>82</v>
      </c>
      <c r="F786" s="517" t="s">
        <v>1</v>
      </c>
      <c r="G786" s="517"/>
      <c r="H786" s="367" t="s">
        <v>3</v>
      </c>
      <c r="I786" s="366" t="s">
        <v>184</v>
      </c>
      <c r="J786" s="366" t="s">
        <v>1426</v>
      </c>
      <c r="K786" s="366" t="s">
        <v>185</v>
      </c>
      <c r="L786" s="366" t="s">
        <v>4</v>
      </c>
    </row>
    <row r="787" spans="2:12" ht="25.5" x14ac:dyDescent="0.25">
      <c r="B787" s="421" t="s">
        <v>7</v>
      </c>
      <c r="C787" s="368" t="s">
        <v>975</v>
      </c>
      <c r="D787" s="421" t="s">
        <v>175</v>
      </c>
      <c r="E787" s="421" t="s">
        <v>815</v>
      </c>
      <c r="F787" s="518" t="s">
        <v>1173</v>
      </c>
      <c r="G787" s="518"/>
      <c r="H787" s="369" t="s">
        <v>225</v>
      </c>
      <c r="I787" s="370">
        <v>1</v>
      </c>
      <c r="J787" s="371"/>
      <c r="K787" s="371">
        <v>0.38</v>
      </c>
      <c r="L787" s="371">
        <v>0.38</v>
      </c>
    </row>
    <row r="788" spans="2:12" ht="38.25" x14ac:dyDescent="0.25">
      <c r="B788" s="422" t="s">
        <v>187</v>
      </c>
      <c r="C788" s="372" t="s">
        <v>1096</v>
      </c>
      <c r="D788" s="422" t="s">
        <v>175</v>
      </c>
      <c r="E788" s="422" t="s">
        <v>1097</v>
      </c>
      <c r="F788" s="519" t="s">
        <v>1098</v>
      </c>
      <c r="G788" s="519"/>
      <c r="H788" s="373" t="s">
        <v>1099</v>
      </c>
      <c r="I788" s="374">
        <v>0.01</v>
      </c>
      <c r="J788" s="374"/>
      <c r="K788" s="375">
        <v>3.63</v>
      </c>
      <c r="L788" s="375">
        <v>0.03</v>
      </c>
    </row>
    <row r="789" spans="2:12" ht="38.25" x14ac:dyDescent="0.25">
      <c r="B789" s="422" t="s">
        <v>187</v>
      </c>
      <c r="C789" s="372" t="s">
        <v>1112</v>
      </c>
      <c r="D789" s="422" t="s">
        <v>175</v>
      </c>
      <c r="E789" s="422" t="s">
        <v>1113</v>
      </c>
      <c r="F789" s="519" t="s">
        <v>1098</v>
      </c>
      <c r="G789" s="519"/>
      <c r="H789" s="373" t="s">
        <v>1099</v>
      </c>
      <c r="I789" s="374">
        <v>0.01</v>
      </c>
      <c r="J789" s="374"/>
      <c r="K789" s="375">
        <v>3.51</v>
      </c>
      <c r="L789" s="375">
        <v>0.03</v>
      </c>
    </row>
    <row r="790" spans="2:12" x14ac:dyDescent="0.25">
      <c r="B790" s="423" t="s">
        <v>188</v>
      </c>
      <c r="C790" s="376" t="s">
        <v>814</v>
      </c>
      <c r="D790" s="423" t="s">
        <v>175</v>
      </c>
      <c r="E790" s="423" t="s">
        <v>815</v>
      </c>
      <c r="F790" s="515" t="s">
        <v>198</v>
      </c>
      <c r="G790" s="515"/>
      <c r="H790" s="377" t="s">
        <v>225</v>
      </c>
      <c r="I790" s="378">
        <v>1</v>
      </c>
      <c r="J790" s="378"/>
      <c r="K790" s="379">
        <v>0.05</v>
      </c>
      <c r="L790" s="379">
        <v>0.05</v>
      </c>
    </row>
    <row r="791" spans="2:12" ht="38.25" x14ac:dyDescent="0.25">
      <c r="B791" s="423" t="s">
        <v>188</v>
      </c>
      <c r="C791" s="376" t="s">
        <v>222</v>
      </c>
      <c r="D791" s="423" t="s">
        <v>31</v>
      </c>
      <c r="E791" s="423" t="s">
        <v>1114</v>
      </c>
      <c r="F791" s="515" t="s">
        <v>189</v>
      </c>
      <c r="G791" s="515"/>
      <c r="H791" s="377" t="s">
        <v>32</v>
      </c>
      <c r="I791" s="378">
        <v>0.01</v>
      </c>
      <c r="J791" s="378"/>
      <c r="K791" s="379">
        <v>16.39</v>
      </c>
      <c r="L791" s="379">
        <v>0.16</v>
      </c>
    </row>
    <row r="792" spans="2:12" ht="38.25" x14ac:dyDescent="0.25">
      <c r="B792" s="423" t="s">
        <v>188</v>
      </c>
      <c r="C792" s="376" t="s">
        <v>173</v>
      </c>
      <c r="D792" s="423" t="s">
        <v>31</v>
      </c>
      <c r="E792" s="423" t="s">
        <v>47</v>
      </c>
      <c r="F792" s="515" t="s">
        <v>189</v>
      </c>
      <c r="G792" s="515"/>
      <c r="H792" s="377" t="s">
        <v>32</v>
      </c>
      <c r="I792" s="378">
        <v>0.01</v>
      </c>
      <c r="J792" s="378"/>
      <c r="K792" s="379">
        <v>11.67</v>
      </c>
      <c r="L792" s="379">
        <v>0.11</v>
      </c>
    </row>
    <row r="793" spans="2:12" ht="15" x14ac:dyDescent="0.25">
      <c r="B793" s="424"/>
      <c r="C793" s="424"/>
      <c r="D793" s="424"/>
      <c r="E793" s="424"/>
      <c r="F793" s="424"/>
      <c r="G793" s="380"/>
      <c r="H793" s="424"/>
      <c r="I793" s="380"/>
      <c r="J793" s="424"/>
      <c r="K793" s="380"/>
      <c r="L793"/>
    </row>
    <row r="794" spans="2:12" ht="15.75" thickBot="1" x14ac:dyDescent="0.3">
      <c r="B794" s="424"/>
      <c r="C794" s="424"/>
      <c r="D794" s="424"/>
      <c r="E794" s="424"/>
      <c r="F794" s="424"/>
      <c r="G794" s="380"/>
      <c r="H794" s="424"/>
      <c r="I794" s="516"/>
      <c r="J794" s="516"/>
      <c r="K794" s="380"/>
      <c r="L794"/>
    </row>
    <row r="795" spans="2:12" ht="13.5" thickTop="1" x14ac:dyDescent="0.25">
      <c r="B795" s="381"/>
      <c r="C795" s="381"/>
      <c r="D795" s="381"/>
      <c r="E795" s="381"/>
      <c r="F795" s="381"/>
      <c r="G795" s="381"/>
      <c r="H795" s="381"/>
      <c r="I795" s="381"/>
      <c r="J795" s="381"/>
      <c r="K795" s="381"/>
      <c r="L795" s="381"/>
    </row>
    <row r="796" spans="2:12" ht="15" x14ac:dyDescent="0.25">
      <c r="B796" s="420" t="s">
        <v>1521</v>
      </c>
      <c r="C796" s="366" t="s">
        <v>0</v>
      </c>
      <c r="D796" s="420" t="s">
        <v>183</v>
      </c>
      <c r="E796" s="420" t="s">
        <v>82</v>
      </c>
      <c r="F796" s="517" t="s">
        <v>1</v>
      </c>
      <c r="G796" s="517"/>
      <c r="H796" s="367" t="s">
        <v>3</v>
      </c>
      <c r="I796" s="366" t="s">
        <v>184</v>
      </c>
      <c r="J796" s="366" t="s">
        <v>1426</v>
      </c>
      <c r="K796" s="366" t="s">
        <v>185</v>
      </c>
      <c r="L796" s="366" t="s">
        <v>4</v>
      </c>
    </row>
    <row r="797" spans="2:12" ht="25.5" x14ac:dyDescent="0.25">
      <c r="B797" s="421" t="s">
        <v>7</v>
      </c>
      <c r="C797" s="368" t="s">
        <v>977</v>
      </c>
      <c r="D797" s="421" t="s">
        <v>175</v>
      </c>
      <c r="E797" s="421" t="s">
        <v>978</v>
      </c>
      <c r="F797" s="518" t="s">
        <v>1173</v>
      </c>
      <c r="G797" s="518"/>
      <c r="H797" s="369" t="s">
        <v>225</v>
      </c>
      <c r="I797" s="370">
        <v>1</v>
      </c>
      <c r="J797" s="371"/>
      <c r="K797" s="371">
        <v>0.38</v>
      </c>
      <c r="L797" s="371">
        <v>0.38</v>
      </c>
    </row>
    <row r="798" spans="2:12" ht="38.25" x14ac:dyDescent="0.25">
      <c r="B798" s="422" t="s">
        <v>187</v>
      </c>
      <c r="C798" s="372" t="s">
        <v>1096</v>
      </c>
      <c r="D798" s="422" t="s">
        <v>175</v>
      </c>
      <c r="E798" s="422" t="s">
        <v>1097</v>
      </c>
      <c r="F798" s="519" t="s">
        <v>1098</v>
      </c>
      <c r="G798" s="519"/>
      <c r="H798" s="373" t="s">
        <v>1099</v>
      </c>
      <c r="I798" s="374">
        <v>0.01</v>
      </c>
      <c r="J798" s="374"/>
      <c r="K798" s="375">
        <v>3.63</v>
      </c>
      <c r="L798" s="375">
        <v>0.03</v>
      </c>
    </row>
    <row r="799" spans="2:12" ht="38.25" x14ac:dyDescent="0.25">
      <c r="B799" s="422" t="s">
        <v>187</v>
      </c>
      <c r="C799" s="372" t="s">
        <v>1112</v>
      </c>
      <c r="D799" s="422" t="s">
        <v>175</v>
      </c>
      <c r="E799" s="422" t="s">
        <v>1113</v>
      </c>
      <c r="F799" s="519" t="s">
        <v>1098</v>
      </c>
      <c r="G799" s="519"/>
      <c r="H799" s="373" t="s">
        <v>1099</v>
      </c>
      <c r="I799" s="374">
        <v>0.01</v>
      </c>
      <c r="J799" s="374"/>
      <c r="K799" s="375">
        <v>3.51</v>
      </c>
      <c r="L799" s="375">
        <v>0.03</v>
      </c>
    </row>
    <row r="800" spans="2:12" x14ac:dyDescent="0.25">
      <c r="B800" s="423" t="s">
        <v>188</v>
      </c>
      <c r="C800" s="376" t="s">
        <v>816</v>
      </c>
      <c r="D800" s="423" t="s">
        <v>175</v>
      </c>
      <c r="E800" s="423" t="s">
        <v>817</v>
      </c>
      <c r="F800" s="515" t="s">
        <v>198</v>
      </c>
      <c r="G800" s="515"/>
      <c r="H800" s="377" t="s">
        <v>225</v>
      </c>
      <c r="I800" s="378">
        <v>1</v>
      </c>
      <c r="J800" s="378"/>
      <c r="K800" s="379">
        <v>0.05</v>
      </c>
      <c r="L800" s="379">
        <v>0.05</v>
      </c>
    </row>
    <row r="801" spans="2:12" ht="38.25" x14ac:dyDescent="0.25">
      <c r="B801" s="423" t="s">
        <v>188</v>
      </c>
      <c r="C801" s="376" t="s">
        <v>222</v>
      </c>
      <c r="D801" s="423" t="s">
        <v>31</v>
      </c>
      <c r="E801" s="423" t="s">
        <v>1114</v>
      </c>
      <c r="F801" s="515" t="s">
        <v>189</v>
      </c>
      <c r="G801" s="515"/>
      <c r="H801" s="377" t="s">
        <v>32</v>
      </c>
      <c r="I801" s="378">
        <v>0.01</v>
      </c>
      <c r="J801" s="378"/>
      <c r="K801" s="379">
        <v>16.39</v>
      </c>
      <c r="L801" s="379">
        <v>0.16</v>
      </c>
    </row>
    <row r="802" spans="2:12" ht="38.25" x14ac:dyDescent="0.25">
      <c r="B802" s="423" t="s">
        <v>188</v>
      </c>
      <c r="C802" s="376" t="s">
        <v>173</v>
      </c>
      <c r="D802" s="423" t="s">
        <v>31</v>
      </c>
      <c r="E802" s="423" t="s">
        <v>47</v>
      </c>
      <c r="F802" s="515" t="s">
        <v>189</v>
      </c>
      <c r="G802" s="515"/>
      <c r="H802" s="377" t="s">
        <v>32</v>
      </c>
      <c r="I802" s="378">
        <v>0.01</v>
      </c>
      <c r="J802" s="378"/>
      <c r="K802" s="379">
        <v>11.67</v>
      </c>
      <c r="L802" s="379">
        <v>0.11</v>
      </c>
    </row>
    <row r="803" spans="2:12" ht="15" x14ac:dyDescent="0.25">
      <c r="B803" s="424"/>
      <c r="C803" s="424"/>
      <c r="D803" s="424"/>
      <c r="E803" s="424"/>
      <c r="F803" s="424"/>
      <c r="G803" s="380"/>
      <c r="H803" s="424"/>
      <c r="I803" s="380"/>
      <c r="J803" s="424"/>
      <c r="K803" s="380"/>
      <c r="L803"/>
    </row>
    <row r="804" spans="2:12" ht="15.75" thickBot="1" x14ac:dyDescent="0.3">
      <c r="B804" s="424"/>
      <c r="C804" s="424"/>
      <c r="D804" s="424"/>
      <c r="E804" s="424"/>
      <c r="F804" s="424"/>
      <c r="G804" s="380"/>
      <c r="H804" s="424"/>
      <c r="I804" s="516"/>
      <c r="J804" s="516"/>
      <c r="K804" s="380"/>
      <c r="L804"/>
    </row>
    <row r="805" spans="2:12" ht="13.5" thickTop="1" x14ac:dyDescent="0.25">
      <c r="B805" s="381"/>
      <c r="C805" s="381"/>
      <c r="D805" s="381"/>
      <c r="E805" s="381"/>
      <c r="F805" s="381"/>
      <c r="G805" s="381"/>
      <c r="H805" s="381"/>
      <c r="I805" s="381"/>
      <c r="J805" s="381"/>
      <c r="K805" s="381"/>
      <c r="L805" s="381"/>
    </row>
    <row r="806" spans="2:12" ht="15" x14ac:dyDescent="0.25">
      <c r="B806" s="420" t="s">
        <v>974</v>
      </c>
      <c r="C806" s="366" t="s">
        <v>0</v>
      </c>
      <c r="D806" s="420" t="s">
        <v>183</v>
      </c>
      <c r="E806" s="420" t="s">
        <v>82</v>
      </c>
      <c r="F806" s="517" t="s">
        <v>1</v>
      </c>
      <c r="G806" s="517"/>
      <c r="H806" s="367" t="s">
        <v>3</v>
      </c>
      <c r="I806" s="366" t="s">
        <v>184</v>
      </c>
      <c r="J806" s="366" t="s">
        <v>1426</v>
      </c>
      <c r="K806" s="366" t="s">
        <v>185</v>
      </c>
      <c r="L806" s="366" t="s">
        <v>4</v>
      </c>
    </row>
    <row r="807" spans="2:12" ht="25.5" x14ac:dyDescent="0.25">
      <c r="B807" s="421" t="s">
        <v>7</v>
      </c>
      <c r="C807" s="368" t="s">
        <v>980</v>
      </c>
      <c r="D807" s="421" t="s">
        <v>124</v>
      </c>
      <c r="E807" s="421" t="s">
        <v>981</v>
      </c>
      <c r="F807" s="518">
        <v>7</v>
      </c>
      <c r="G807" s="518"/>
      <c r="H807" s="369" t="s">
        <v>824</v>
      </c>
      <c r="I807" s="370">
        <v>1</v>
      </c>
      <c r="J807" s="371"/>
      <c r="K807" s="371">
        <v>0.69</v>
      </c>
      <c r="L807" s="371">
        <v>0.69</v>
      </c>
    </row>
    <row r="808" spans="2:12" ht="38.25" x14ac:dyDescent="0.25">
      <c r="B808" s="422" t="s">
        <v>187</v>
      </c>
      <c r="C808" s="372" t="s">
        <v>218</v>
      </c>
      <c r="D808" s="422" t="s">
        <v>31</v>
      </c>
      <c r="E808" s="422" t="s">
        <v>219</v>
      </c>
      <c r="F808" s="519" t="s">
        <v>186</v>
      </c>
      <c r="G808" s="519"/>
      <c r="H808" s="373" t="s">
        <v>32</v>
      </c>
      <c r="I808" s="374">
        <v>1.6E-2</v>
      </c>
      <c r="J808" s="374"/>
      <c r="K808" s="375">
        <v>22.58</v>
      </c>
      <c r="L808" s="375">
        <v>0.36</v>
      </c>
    </row>
    <row r="809" spans="2:12" ht="38.25" x14ac:dyDescent="0.25">
      <c r="B809" s="422" t="s">
        <v>187</v>
      </c>
      <c r="C809" s="372" t="s">
        <v>216</v>
      </c>
      <c r="D809" s="422" t="s">
        <v>31</v>
      </c>
      <c r="E809" s="422" t="s">
        <v>217</v>
      </c>
      <c r="F809" s="519" t="s">
        <v>186</v>
      </c>
      <c r="G809" s="519"/>
      <c r="H809" s="373" t="s">
        <v>32</v>
      </c>
      <c r="I809" s="374">
        <v>1.6E-2</v>
      </c>
      <c r="J809" s="374"/>
      <c r="K809" s="375">
        <v>18.48</v>
      </c>
      <c r="L809" s="375">
        <v>0.28999999999999998</v>
      </c>
    </row>
    <row r="810" spans="2:12" ht="38.25" x14ac:dyDescent="0.25">
      <c r="B810" s="423" t="s">
        <v>188</v>
      </c>
      <c r="C810" s="376" t="s">
        <v>820</v>
      </c>
      <c r="D810" s="423" t="s">
        <v>31</v>
      </c>
      <c r="E810" s="423" t="s">
        <v>821</v>
      </c>
      <c r="F810" s="515" t="s">
        <v>198</v>
      </c>
      <c r="G810" s="515"/>
      <c r="H810" s="377" t="s">
        <v>22</v>
      </c>
      <c r="I810" s="378">
        <v>1</v>
      </c>
      <c r="J810" s="378"/>
      <c r="K810" s="379">
        <v>0.04</v>
      </c>
      <c r="L810" s="379">
        <v>0.04</v>
      </c>
    </row>
    <row r="811" spans="2:12" ht="15" x14ac:dyDescent="0.25">
      <c r="B811" s="424"/>
      <c r="C811" s="424"/>
      <c r="D811" s="424"/>
      <c r="E811" s="424"/>
      <c r="F811" s="424"/>
      <c r="G811" s="380"/>
      <c r="H811" s="424"/>
      <c r="I811" s="380"/>
      <c r="J811" s="424"/>
      <c r="K811" s="380"/>
      <c r="L811"/>
    </row>
    <row r="812" spans="2:12" ht="15.75" thickBot="1" x14ac:dyDescent="0.3">
      <c r="B812" s="424"/>
      <c r="C812" s="424"/>
      <c r="D812" s="424"/>
      <c r="E812" s="424"/>
      <c r="F812" s="424"/>
      <c r="G812" s="380"/>
      <c r="H812" s="424"/>
      <c r="I812" s="516"/>
      <c r="J812" s="516"/>
      <c r="K812" s="380"/>
      <c r="L812"/>
    </row>
    <row r="813" spans="2:12" ht="13.5" thickTop="1" x14ac:dyDescent="0.25">
      <c r="B813" s="381"/>
      <c r="C813" s="381"/>
      <c r="D813" s="381"/>
      <c r="E813" s="381"/>
      <c r="F813" s="381"/>
      <c r="G813" s="381"/>
      <c r="H813" s="381"/>
      <c r="I813" s="381"/>
      <c r="J813" s="381"/>
      <c r="K813" s="381"/>
      <c r="L813" s="381"/>
    </row>
    <row r="814" spans="2:12" ht="15" x14ac:dyDescent="0.25">
      <c r="B814" s="420" t="s">
        <v>976</v>
      </c>
      <c r="C814" s="366" t="s">
        <v>0</v>
      </c>
      <c r="D814" s="420" t="s">
        <v>183</v>
      </c>
      <c r="E814" s="420" t="s">
        <v>82</v>
      </c>
      <c r="F814" s="517" t="s">
        <v>1</v>
      </c>
      <c r="G814" s="517"/>
      <c r="H814" s="367" t="s">
        <v>3</v>
      </c>
      <c r="I814" s="366" t="s">
        <v>184</v>
      </c>
      <c r="J814" s="366" t="s">
        <v>1426</v>
      </c>
      <c r="K814" s="366" t="s">
        <v>185</v>
      </c>
      <c r="L814" s="366" t="s">
        <v>4</v>
      </c>
    </row>
    <row r="815" spans="2:12" ht="25.5" x14ac:dyDescent="0.25">
      <c r="B815" s="421" t="s">
        <v>7</v>
      </c>
      <c r="C815" s="368" t="s">
        <v>750</v>
      </c>
      <c r="D815" s="421" t="s">
        <v>124</v>
      </c>
      <c r="E815" s="421" t="s">
        <v>460</v>
      </c>
      <c r="F815" s="518">
        <v>90</v>
      </c>
      <c r="G815" s="518"/>
      <c r="H815" s="369" t="s">
        <v>225</v>
      </c>
      <c r="I815" s="370">
        <v>1</v>
      </c>
      <c r="J815" s="371"/>
      <c r="K815" s="371">
        <v>4.24</v>
      </c>
      <c r="L815" s="371">
        <v>4.24</v>
      </c>
    </row>
    <row r="816" spans="2:12" ht="38.25" x14ac:dyDescent="0.25">
      <c r="B816" s="422" t="s">
        <v>187</v>
      </c>
      <c r="C816" s="372" t="s">
        <v>218</v>
      </c>
      <c r="D816" s="422" t="s">
        <v>31</v>
      </c>
      <c r="E816" s="422" t="s">
        <v>219</v>
      </c>
      <c r="F816" s="519" t="s">
        <v>186</v>
      </c>
      <c r="G816" s="519"/>
      <c r="H816" s="373" t="s">
        <v>32</v>
      </c>
      <c r="I816" s="374">
        <v>0.1</v>
      </c>
      <c r="J816" s="374"/>
      <c r="K816" s="375">
        <v>22.58</v>
      </c>
      <c r="L816" s="375">
        <v>2.25</v>
      </c>
    </row>
    <row r="817" spans="2:12" ht="38.25" x14ac:dyDescent="0.25">
      <c r="B817" s="422" t="s">
        <v>187</v>
      </c>
      <c r="C817" s="372" t="s">
        <v>216</v>
      </c>
      <c r="D817" s="422" t="s">
        <v>31</v>
      </c>
      <c r="E817" s="422" t="s">
        <v>217</v>
      </c>
      <c r="F817" s="519" t="s">
        <v>186</v>
      </c>
      <c r="G817" s="519"/>
      <c r="H817" s="373" t="s">
        <v>32</v>
      </c>
      <c r="I817" s="374">
        <v>0.1</v>
      </c>
      <c r="J817" s="374"/>
      <c r="K817" s="375">
        <v>18.48</v>
      </c>
      <c r="L817" s="375">
        <v>1.84</v>
      </c>
    </row>
    <row r="818" spans="2:12" ht="38.25" x14ac:dyDescent="0.25">
      <c r="B818" s="423" t="s">
        <v>188</v>
      </c>
      <c r="C818" s="376" t="s">
        <v>818</v>
      </c>
      <c r="D818" s="423" t="s">
        <v>31</v>
      </c>
      <c r="E818" s="423" t="s">
        <v>819</v>
      </c>
      <c r="F818" s="515" t="s">
        <v>198</v>
      </c>
      <c r="G818" s="515"/>
      <c r="H818" s="377" t="s">
        <v>22</v>
      </c>
      <c r="I818" s="378">
        <v>1</v>
      </c>
      <c r="J818" s="378"/>
      <c r="K818" s="379">
        <v>0.15</v>
      </c>
      <c r="L818" s="379">
        <v>0.15</v>
      </c>
    </row>
    <row r="819" spans="2:12" ht="15" x14ac:dyDescent="0.25">
      <c r="B819" s="424"/>
      <c r="C819" s="424"/>
      <c r="D819" s="424"/>
      <c r="E819" s="424"/>
      <c r="F819" s="424"/>
      <c r="G819" s="380"/>
      <c r="H819" s="424"/>
      <c r="I819" s="380"/>
      <c r="J819" s="424"/>
      <c r="K819" s="380"/>
      <c r="L819"/>
    </row>
    <row r="820" spans="2:12" ht="15.75" thickBot="1" x14ac:dyDescent="0.3">
      <c r="B820" s="424"/>
      <c r="C820" s="424"/>
      <c r="D820" s="424"/>
      <c r="E820" s="424"/>
      <c r="F820" s="424"/>
      <c r="G820" s="380"/>
      <c r="H820" s="424"/>
      <c r="I820" s="516"/>
      <c r="J820" s="516"/>
      <c r="K820" s="380"/>
      <c r="L820"/>
    </row>
    <row r="821" spans="2:12" ht="13.5" thickTop="1" x14ac:dyDescent="0.25">
      <c r="B821" s="381"/>
      <c r="C821" s="381"/>
      <c r="D821" s="381"/>
      <c r="E821" s="381"/>
      <c r="F821" s="381"/>
      <c r="G821" s="381"/>
      <c r="H821" s="381"/>
      <c r="I821" s="381"/>
      <c r="J821" s="381"/>
      <c r="K821" s="381"/>
      <c r="L821" s="381"/>
    </row>
    <row r="822" spans="2:12" ht="15" x14ac:dyDescent="0.25">
      <c r="B822" s="420" t="s">
        <v>979</v>
      </c>
      <c r="C822" s="366" t="s">
        <v>0</v>
      </c>
      <c r="D822" s="420" t="s">
        <v>183</v>
      </c>
      <c r="E822" s="420" t="s">
        <v>82</v>
      </c>
      <c r="F822" s="517" t="s">
        <v>1</v>
      </c>
      <c r="G822" s="517"/>
      <c r="H822" s="367" t="s">
        <v>3</v>
      </c>
      <c r="I822" s="366" t="s">
        <v>184</v>
      </c>
      <c r="J822" s="366" t="s">
        <v>1426</v>
      </c>
      <c r="K822" s="366" t="s">
        <v>185</v>
      </c>
      <c r="L822" s="366" t="s">
        <v>4</v>
      </c>
    </row>
    <row r="823" spans="2:12" ht="63.75" x14ac:dyDescent="0.25">
      <c r="B823" s="421" t="s">
        <v>7</v>
      </c>
      <c r="C823" s="368" t="s">
        <v>984</v>
      </c>
      <c r="D823" s="421" t="s">
        <v>124</v>
      </c>
      <c r="E823" s="421" t="s">
        <v>985</v>
      </c>
      <c r="F823" s="518" t="s">
        <v>1122</v>
      </c>
      <c r="G823" s="518"/>
      <c r="H823" s="369" t="s">
        <v>22</v>
      </c>
      <c r="I823" s="370">
        <v>1</v>
      </c>
      <c r="J823" s="371"/>
      <c r="K823" s="371">
        <v>4.42</v>
      </c>
      <c r="L823" s="371">
        <v>4.42</v>
      </c>
    </row>
    <row r="824" spans="2:12" ht="38.25" x14ac:dyDescent="0.25">
      <c r="B824" s="422" t="s">
        <v>187</v>
      </c>
      <c r="C824" s="372" t="s">
        <v>1174</v>
      </c>
      <c r="D824" s="422" t="s">
        <v>31</v>
      </c>
      <c r="E824" s="422" t="s">
        <v>1175</v>
      </c>
      <c r="F824" s="519" t="s">
        <v>236</v>
      </c>
      <c r="G824" s="519"/>
      <c r="H824" s="373" t="s">
        <v>22</v>
      </c>
      <c r="I824" s="374">
        <v>1</v>
      </c>
      <c r="J824" s="374"/>
      <c r="K824" s="375">
        <v>3.92</v>
      </c>
      <c r="L824" s="375">
        <v>3.92</v>
      </c>
    </row>
    <row r="825" spans="2:12" ht="38.25" x14ac:dyDescent="0.25">
      <c r="B825" s="423" t="s">
        <v>188</v>
      </c>
      <c r="C825" s="376" t="s">
        <v>1176</v>
      </c>
      <c r="D825" s="423" t="s">
        <v>31</v>
      </c>
      <c r="E825" s="423" t="s">
        <v>1177</v>
      </c>
      <c r="F825" s="515" t="s">
        <v>198</v>
      </c>
      <c r="G825" s="515"/>
      <c r="H825" s="377" t="s">
        <v>1178</v>
      </c>
      <c r="I825" s="378">
        <v>0.01</v>
      </c>
      <c r="J825" s="378"/>
      <c r="K825" s="379">
        <v>50.64</v>
      </c>
      <c r="L825" s="379">
        <v>0.5</v>
      </c>
    </row>
    <row r="826" spans="2:12" ht="15" x14ac:dyDescent="0.25">
      <c r="B826" s="424"/>
      <c r="C826" s="424"/>
      <c r="D826" s="424"/>
      <c r="E826" s="424"/>
      <c r="F826" s="424"/>
      <c r="G826" s="380"/>
      <c r="H826" s="424"/>
      <c r="I826" s="380"/>
      <c r="J826" s="424"/>
      <c r="K826" s="380"/>
      <c r="L826"/>
    </row>
    <row r="827" spans="2:12" ht="15.75" thickBot="1" x14ac:dyDescent="0.3">
      <c r="B827" s="424"/>
      <c r="C827" s="424"/>
      <c r="D827" s="424"/>
      <c r="E827" s="424"/>
      <c r="F827" s="424"/>
      <c r="G827" s="380"/>
      <c r="H827" s="424"/>
      <c r="I827" s="516"/>
      <c r="J827" s="516"/>
      <c r="K827" s="380"/>
      <c r="L827"/>
    </row>
    <row r="828" spans="2:12" ht="13.5" thickTop="1" x14ac:dyDescent="0.25">
      <c r="B828" s="381"/>
      <c r="C828" s="381"/>
      <c r="D828" s="381"/>
      <c r="E828" s="381"/>
      <c r="F828" s="381"/>
      <c r="G828" s="381"/>
      <c r="H828" s="381"/>
      <c r="I828" s="381"/>
      <c r="J828" s="381"/>
      <c r="K828" s="381"/>
      <c r="L828" s="381"/>
    </row>
    <row r="829" spans="2:12" ht="15" x14ac:dyDescent="0.25">
      <c r="B829" s="420" t="s">
        <v>982</v>
      </c>
      <c r="C829" s="366" t="s">
        <v>0</v>
      </c>
      <c r="D829" s="420" t="s">
        <v>183</v>
      </c>
      <c r="E829" s="420" t="s">
        <v>82</v>
      </c>
      <c r="F829" s="517" t="s">
        <v>1</v>
      </c>
      <c r="G829" s="517"/>
      <c r="H829" s="367" t="s">
        <v>3</v>
      </c>
      <c r="I829" s="366" t="s">
        <v>184</v>
      </c>
      <c r="J829" s="366" t="s">
        <v>1426</v>
      </c>
      <c r="K829" s="366" t="s">
        <v>185</v>
      </c>
      <c r="L829" s="366" t="s">
        <v>4</v>
      </c>
    </row>
    <row r="830" spans="2:12" ht="25.5" x14ac:dyDescent="0.25">
      <c r="B830" s="421" t="s">
        <v>7</v>
      </c>
      <c r="C830" s="368" t="s">
        <v>751</v>
      </c>
      <c r="D830" s="421" t="s">
        <v>124</v>
      </c>
      <c r="E830" s="421" t="s">
        <v>480</v>
      </c>
      <c r="F830" s="518">
        <v>168</v>
      </c>
      <c r="G830" s="518"/>
      <c r="H830" s="369" t="s">
        <v>225</v>
      </c>
      <c r="I830" s="370">
        <v>1</v>
      </c>
      <c r="J830" s="371"/>
      <c r="K830" s="371">
        <v>0.6</v>
      </c>
      <c r="L830" s="371">
        <v>0.6</v>
      </c>
    </row>
    <row r="831" spans="2:12" ht="38.25" x14ac:dyDescent="0.25">
      <c r="B831" s="422" t="s">
        <v>187</v>
      </c>
      <c r="C831" s="372" t="s">
        <v>218</v>
      </c>
      <c r="D831" s="422" t="s">
        <v>31</v>
      </c>
      <c r="E831" s="422" t="s">
        <v>219</v>
      </c>
      <c r="F831" s="519" t="s">
        <v>186</v>
      </c>
      <c r="G831" s="519"/>
      <c r="H831" s="373" t="s">
        <v>32</v>
      </c>
      <c r="I831" s="374">
        <v>0.01</v>
      </c>
      <c r="J831" s="374"/>
      <c r="K831" s="375">
        <v>22.58</v>
      </c>
      <c r="L831" s="375">
        <v>0.22</v>
      </c>
    </row>
    <row r="832" spans="2:12" x14ac:dyDescent="0.25">
      <c r="B832" s="423" t="s">
        <v>188</v>
      </c>
      <c r="C832" s="376" t="s">
        <v>822</v>
      </c>
      <c r="D832" s="423" t="s">
        <v>175</v>
      </c>
      <c r="E832" s="423" t="s">
        <v>823</v>
      </c>
      <c r="F832" s="515" t="s">
        <v>198</v>
      </c>
      <c r="G832" s="515"/>
      <c r="H832" s="377" t="s">
        <v>225</v>
      </c>
      <c r="I832" s="378">
        <v>1</v>
      </c>
      <c r="J832" s="378"/>
      <c r="K832" s="379">
        <v>0.38</v>
      </c>
      <c r="L832" s="379">
        <v>0.38</v>
      </c>
    </row>
    <row r="833" spans="2:12" ht="15" x14ac:dyDescent="0.25">
      <c r="B833" s="424"/>
      <c r="C833" s="424"/>
      <c r="D833" s="424"/>
      <c r="E833" s="424"/>
      <c r="F833" s="424"/>
      <c r="G833" s="380"/>
      <c r="H833" s="424"/>
      <c r="I833" s="380"/>
      <c r="J833" s="424"/>
      <c r="K833" s="380"/>
      <c r="L833"/>
    </row>
    <row r="834" spans="2:12" ht="15.75" thickBot="1" x14ac:dyDescent="0.3">
      <c r="B834" s="424"/>
      <c r="C834" s="424"/>
      <c r="D834" s="424"/>
      <c r="E834" s="424"/>
      <c r="F834" s="424"/>
      <c r="G834" s="380"/>
      <c r="H834" s="424"/>
      <c r="I834" s="516"/>
      <c r="J834" s="516"/>
      <c r="K834" s="380"/>
      <c r="L834"/>
    </row>
    <row r="835" spans="2:12" ht="13.5" thickTop="1" x14ac:dyDescent="0.25">
      <c r="B835" s="381"/>
      <c r="C835" s="381"/>
      <c r="D835" s="381"/>
      <c r="E835" s="381"/>
      <c r="F835" s="381"/>
      <c r="G835" s="381"/>
      <c r="H835" s="381"/>
      <c r="I835" s="381"/>
      <c r="J835" s="381"/>
      <c r="K835" s="381"/>
      <c r="L835" s="381"/>
    </row>
    <row r="836" spans="2:12" ht="15" x14ac:dyDescent="0.25">
      <c r="B836" s="420" t="s">
        <v>983</v>
      </c>
      <c r="C836" s="366" t="s">
        <v>0</v>
      </c>
      <c r="D836" s="420" t="s">
        <v>183</v>
      </c>
      <c r="E836" s="420" t="s">
        <v>82</v>
      </c>
      <c r="F836" s="517" t="s">
        <v>1</v>
      </c>
      <c r="G836" s="517"/>
      <c r="H836" s="367" t="s">
        <v>3</v>
      </c>
      <c r="I836" s="366" t="s">
        <v>184</v>
      </c>
      <c r="J836" s="366" t="s">
        <v>1426</v>
      </c>
      <c r="K836" s="366" t="s">
        <v>185</v>
      </c>
      <c r="L836" s="366" t="s">
        <v>4</v>
      </c>
    </row>
    <row r="837" spans="2:12" ht="25.5" x14ac:dyDescent="0.25">
      <c r="B837" s="421" t="s">
        <v>7</v>
      </c>
      <c r="C837" s="368" t="s">
        <v>988</v>
      </c>
      <c r="D837" s="421" t="s">
        <v>874</v>
      </c>
      <c r="E837" s="421" t="s">
        <v>989</v>
      </c>
      <c r="F837" s="518">
        <v>7</v>
      </c>
      <c r="G837" s="518"/>
      <c r="H837" s="369" t="s">
        <v>824</v>
      </c>
      <c r="I837" s="370">
        <v>1</v>
      </c>
      <c r="J837" s="371"/>
      <c r="K837" s="371">
        <v>0.38</v>
      </c>
      <c r="L837" s="371">
        <v>0.38</v>
      </c>
    </row>
    <row r="838" spans="2:12" ht="25.5" x14ac:dyDescent="0.25">
      <c r="B838" s="423" t="s">
        <v>188</v>
      </c>
      <c r="C838" s="376" t="s">
        <v>1179</v>
      </c>
      <c r="D838" s="423" t="s">
        <v>874</v>
      </c>
      <c r="E838" s="423" t="s">
        <v>1180</v>
      </c>
      <c r="F838" s="515" t="s">
        <v>198</v>
      </c>
      <c r="G838" s="515"/>
      <c r="H838" s="377" t="s">
        <v>225</v>
      </c>
      <c r="I838" s="378">
        <v>1</v>
      </c>
      <c r="J838" s="378"/>
      <c r="K838" s="379">
        <v>0.18</v>
      </c>
      <c r="L838" s="379">
        <v>0.18</v>
      </c>
    </row>
    <row r="839" spans="2:12" ht="25.5" x14ac:dyDescent="0.25">
      <c r="B839" s="423" t="s">
        <v>188</v>
      </c>
      <c r="C839" s="376" t="s">
        <v>1101</v>
      </c>
      <c r="D839" s="423" t="s">
        <v>874</v>
      </c>
      <c r="E839" s="423" t="s">
        <v>1102</v>
      </c>
      <c r="F839" s="515" t="s">
        <v>189</v>
      </c>
      <c r="G839" s="515"/>
      <c r="H839" s="377" t="s">
        <v>1099</v>
      </c>
      <c r="I839" s="378">
        <v>6.6E-3</v>
      </c>
      <c r="J839" s="378"/>
      <c r="K839" s="379">
        <v>12.31</v>
      </c>
      <c r="L839" s="379">
        <v>0.08</v>
      </c>
    </row>
    <row r="840" spans="2:12" ht="25.5" x14ac:dyDescent="0.25">
      <c r="B840" s="423" t="s">
        <v>188</v>
      </c>
      <c r="C840" s="376" t="s">
        <v>1103</v>
      </c>
      <c r="D840" s="423" t="s">
        <v>874</v>
      </c>
      <c r="E840" s="423" t="s">
        <v>223</v>
      </c>
      <c r="F840" s="515" t="s">
        <v>189</v>
      </c>
      <c r="G840" s="515"/>
      <c r="H840" s="377" t="s">
        <v>1099</v>
      </c>
      <c r="I840" s="378">
        <v>6.6E-3</v>
      </c>
      <c r="J840" s="378"/>
      <c r="K840" s="379">
        <v>18.510000000000002</v>
      </c>
      <c r="L840" s="379">
        <v>0.12</v>
      </c>
    </row>
    <row r="841" spans="2:12" ht="15" x14ac:dyDescent="0.25">
      <c r="B841" s="424"/>
      <c r="C841" s="424"/>
      <c r="D841" s="424"/>
      <c r="E841" s="424"/>
      <c r="F841" s="424"/>
      <c r="G841" s="380"/>
      <c r="H841" s="424"/>
      <c r="I841" s="380"/>
      <c r="J841" s="424"/>
      <c r="K841" s="380"/>
      <c r="L841"/>
    </row>
    <row r="842" spans="2:12" ht="15.75" thickBot="1" x14ac:dyDescent="0.3">
      <c r="B842" s="424"/>
      <c r="C842" s="424"/>
      <c r="D842" s="424"/>
      <c r="E842" s="424"/>
      <c r="F842" s="424"/>
      <c r="G842" s="380"/>
      <c r="H842" s="424"/>
      <c r="I842" s="516"/>
      <c r="J842" s="516"/>
      <c r="K842" s="380"/>
      <c r="L842"/>
    </row>
    <row r="843" spans="2:12" ht="13.5" thickTop="1" x14ac:dyDescent="0.25">
      <c r="B843" s="381"/>
      <c r="C843" s="381"/>
      <c r="D843" s="381"/>
      <c r="E843" s="381"/>
      <c r="F843" s="381"/>
      <c r="G843" s="381"/>
      <c r="H843" s="381"/>
      <c r="I843" s="381"/>
      <c r="J843" s="381"/>
      <c r="K843" s="381"/>
      <c r="L843" s="381"/>
    </row>
    <row r="844" spans="2:12" ht="15" x14ac:dyDescent="0.25">
      <c r="B844" s="420" t="s">
        <v>986</v>
      </c>
      <c r="C844" s="366" t="s">
        <v>0</v>
      </c>
      <c r="D844" s="420" t="s">
        <v>183</v>
      </c>
      <c r="E844" s="420" t="s">
        <v>82</v>
      </c>
      <c r="F844" s="517" t="s">
        <v>1</v>
      </c>
      <c r="G844" s="517"/>
      <c r="H844" s="367" t="s">
        <v>3</v>
      </c>
      <c r="I844" s="366" t="s">
        <v>184</v>
      </c>
      <c r="J844" s="366" t="s">
        <v>1426</v>
      </c>
      <c r="K844" s="366" t="s">
        <v>185</v>
      </c>
      <c r="L844" s="366" t="s">
        <v>4</v>
      </c>
    </row>
    <row r="845" spans="2:12" ht="25.5" x14ac:dyDescent="0.25">
      <c r="B845" s="421" t="s">
        <v>7</v>
      </c>
      <c r="C845" s="368" t="s">
        <v>990</v>
      </c>
      <c r="D845" s="421" t="s">
        <v>175</v>
      </c>
      <c r="E845" s="421" t="s">
        <v>991</v>
      </c>
      <c r="F845" s="518" t="s">
        <v>1181</v>
      </c>
      <c r="G845" s="518"/>
      <c r="H845" s="369" t="s">
        <v>225</v>
      </c>
      <c r="I845" s="370">
        <v>1</v>
      </c>
      <c r="J845" s="371"/>
      <c r="K845" s="371">
        <v>3.73</v>
      </c>
      <c r="L845" s="371">
        <v>3.73</v>
      </c>
    </row>
    <row r="846" spans="2:12" ht="38.25" x14ac:dyDescent="0.25">
      <c r="B846" s="422" t="s">
        <v>187</v>
      </c>
      <c r="C846" s="372" t="s">
        <v>1112</v>
      </c>
      <c r="D846" s="422" t="s">
        <v>175</v>
      </c>
      <c r="E846" s="422" t="s">
        <v>1113</v>
      </c>
      <c r="F846" s="519" t="s">
        <v>1098</v>
      </c>
      <c r="G846" s="519"/>
      <c r="H846" s="373" t="s">
        <v>1099</v>
      </c>
      <c r="I846" s="374">
        <v>0.1</v>
      </c>
      <c r="J846" s="374"/>
      <c r="K846" s="375">
        <v>3.51</v>
      </c>
      <c r="L846" s="375">
        <v>0.35</v>
      </c>
    </row>
    <row r="847" spans="2:12" ht="38.25" x14ac:dyDescent="0.25">
      <c r="B847" s="422" t="s">
        <v>187</v>
      </c>
      <c r="C847" s="372" t="s">
        <v>1096</v>
      </c>
      <c r="D847" s="422" t="s">
        <v>175</v>
      </c>
      <c r="E847" s="422" t="s">
        <v>1097</v>
      </c>
      <c r="F847" s="519" t="s">
        <v>1098</v>
      </c>
      <c r="G847" s="519"/>
      <c r="H847" s="373" t="s">
        <v>1099</v>
      </c>
      <c r="I847" s="374">
        <v>0.1</v>
      </c>
      <c r="J847" s="374"/>
      <c r="K847" s="375">
        <v>3.63</v>
      </c>
      <c r="L847" s="375">
        <v>0.36</v>
      </c>
    </row>
    <row r="848" spans="2:12" x14ac:dyDescent="0.25">
      <c r="B848" s="423" t="s">
        <v>188</v>
      </c>
      <c r="C848" s="376" t="s">
        <v>1182</v>
      </c>
      <c r="D848" s="423" t="s">
        <v>175</v>
      </c>
      <c r="E848" s="423" t="s">
        <v>991</v>
      </c>
      <c r="F848" s="515" t="s">
        <v>198</v>
      </c>
      <c r="G848" s="515"/>
      <c r="H848" s="377" t="s">
        <v>225</v>
      </c>
      <c r="I848" s="378">
        <v>1</v>
      </c>
      <c r="J848" s="378"/>
      <c r="K848" s="379">
        <v>0.23</v>
      </c>
      <c r="L848" s="379">
        <v>0.23</v>
      </c>
    </row>
    <row r="849" spans="2:12" ht="38.25" x14ac:dyDescent="0.25">
      <c r="B849" s="423" t="s">
        <v>188</v>
      </c>
      <c r="C849" s="376" t="s">
        <v>222</v>
      </c>
      <c r="D849" s="423" t="s">
        <v>31</v>
      </c>
      <c r="E849" s="423" t="s">
        <v>1114</v>
      </c>
      <c r="F849" s="515" t="s">
        <v>189</v>
      </c>
      <c r="G849" s="515"/>
      <c r="H849" s="377" t="s">
        <v>32</v>
      </c>
      <c r="I849" s="378">
        <v>0.1</v>
      </c>
      <c r="J849" s="378"/>
      <c r="K849" s="379">
        <v>16.39</v>
      </c>
      <c r="L849" s="379">
        <v>1.63</v>
      </c>
    </row>
    <row r="850" spans="2:12" ht="38.25" x14ac:dyDescent="0.25">
      <c r="B850" s="423" t="s">
        <v>188</v>
      </c>
      <c r="C850" s="376" t="s">
        <v>173</v>
      </c>
      <c r="D850" s="423" t="s">
        <v>31</v>
      </c>
      <c r="E850" s="423" t="s">
        <v>47</v>
      </c>
      <c r="F850" s="515" t="s">
        <v>189</v>
      </c>
      <c r="G850" s="515"/>
      <c r="H850" s="377" t="s">
        <v>32</v>
      </c>
      <c r="I850" s="378">
        <v>0.1</v>
      </c>
      <c r="J850" s="378"/>
      <c r="K850" s="379">
        <v>11.67</v>
      </c>
      <c r="L850" s="379">
        <v>1.1599999999999999</v>
      </c>
    </row>
    <row r="851" spans="2:12" ht="15" x14ac:dyDescent="0.25">
      <c r="B851" s="424"/>
      <c r="C851" s="424"/>
      <c r="D851" s="424"/>
      <c r="E851" s="424"/>
      <c r="F851" s="424"/>
      <c r="G851" s="380"/>
      <c r="H851" s="424"/>
      <c r="I851" s="380"/>
      <c r="J851" s="424"/>
      <c r="K851" s="380"/>
      <c r="L851"/>
    </row>
    <row r="852" spans="2:12" ht="15.75" thickBot="1" x14ac:dyDescent="0.3">
      <c r="B852" s="424"/>
      <c r="C852" s="424"/>
      <c r="D852" s="424"/>
      <c r="E852" s="424"/>
      <c r="F852" s="424"/>
      <c r="G852" s="380"/>
      <c r="H852" s="424"/>
      <c r="I852" s="516"/>
      <c r="J852" s="516"/>
      <c r="K852" s="380"/>
      <c r="L852"/>
    </row>
    <row r="853" spans="2:12" ht="13.5" thickTop="1" x14ac:dyDescent="0.25">
      <c r="B853" s="381"/>
      <c r="C853" s="381"/>
      <c r="D853" s="381"/>
      <c r="E853" s="381"/>
      <c r="F853" s="381"/>
      <c r="G853" s="381"/>
      <c r="H853" s="381"/>
      <c r="I853" s="381"/>
      <c r="J853" s="381"/>
      <c r="K853" s="381"/>
      <c r="L853" s="381"/>
    </row>
    <row r="854" spans="2:12" ht="15" x14ac:dyDescent="0.25">
      <c r="B854" s="420" t="s">
        <v>987</v>
      </c>
      <c r="C854" s="366" t="s">
        <v>0</v>
      </c>
      <c r="D854" s="420" t="s">
        <v>183</v>
      </c>
      <c r="E854" s="420" t="s">
        <v>82</v>
      </c>
      <c r="F854" s="517" t="s">
        <v>1</v>
      </c>
      <c r="G854" s="517"/>
      <c r="H854" s="367" t="s">
        <v>3</v>
      </c>
      <c r="I854" s="366" t="s">
        <v>184</v>
      </c>
      <c r="J854" s="366" t="s">
        <v>1426</v>
      </c>
      <c r="K854" s="366" t="s">
        <v>185</v>
      </c>
      <c r="L854" s="366" t="s">
        <v>4</v>
      </c>
    </row>
    <row r="855" spans="2:12" ht="25.5" x14ac:dyDescent="0.25">
      <c r="B855" s="421" t="s">
        <v>7</v>
      </c>
      <c r="C855" s="368" t="s">
        <v>992</v>
      </c>
      <c r="D855" s="421" t="s">
        <v>175</v>
      </c>
      <c r="E855" s="421" t="s">
        <v>993</v>
      </c>
      <c r="F855" s="518" t="s">
        <v>1095</v>
      </c>
      <c r="G855" s="518"/>
      <c r="H855" s="369" t="s">
        <v>225</v>
      </c>
      <c r="I855" s="370">
        <v>1</v>
      </c>
      <c r="J855" s="371"/>
      <c r="K855" s="371">
        <v>36.200000000000003</v>
      </c>
      <c r="L855" s="371">
        <v>36.200000000000003</v>
      </c>
    </row>
    <row r="856" spans="2:12" ht="38.25" x14ac:dyDescent="0.25">
      <c r="B856" s="422" t="s">
        <v>187</v>
      </c>
      <c r="C856" s="372" t="s">
        <v>1112</v>
      </c>
      <c r="D856" s="422" t="s">
        <v>175</v>
      </c>
      <c r="E856" s="422" t="s">
        <v>1113</v>
      </c>
      <c r="F856" s="519" t="s">
        <v>1098</v>
      </c>
      <c r="G856" s="519"/>
      <c r="H856" s="373" t="s">
        <v>1099</v>
      </c>
      <c r="I856" s="374">
        <v>0.4</v>
      </c>
      <c r="J856" s="374"/>
      <c r="K856" s="375">
        <v>3.51</v>
      </c>
      <c r="L856" s="375">
        <v>1.4</v>
      </c>
    </row>
    <row r="857" spans="2:12" ht="38.25" x14ac:dyDescent="0.25">
      <c r="B857" s="422" t="s">
        <v>187</v>
      </c>
      <c r="C857" s="372" t="s">
        <v>1096</v>
      </c>
      <c r="D857" s="422" t="s">
        <v>175</v>
      </c>
      <c r="E857" s="422" t="s">
        <v>1097</v>
      </c>
      <c r="F857" s="519" t="s">
        <v>1098</v>
      </c>
      <c r="G857" s="519"/>
      <c r="H857" s="373" t="s">
        <v>1099</v>
      </c>
      <c r="I857" s="374">
        <v>0.4</v>
      </c>
      <c r="J857" s="374"/>
      <c r="K857" s="375">
        <v>3.63</v>
      </c>
      <c r="L857" s="375">
        <v>1.45</v>
      </c>
    </row>
    <row r="858" spans="2:12" x14ac:dyDescent="0.25">
      <c r="B858" s="423" t="s">
        <v>188</v>
      </c>
      <c r="C858" s="376" t="s">
        <v>1183</v>
      </c>
      <c r="D858" s="423" t="s">
        <v>175</v>
      </c>
      <c r="E858" s="423" t="s">
        <v>993</v>
      </c>
      <c r="F858" s="515" t="s">
        <v>198</v>
      </c>
      <c r="G858" s="515"/>
      <c r="H858" s="377" t="s">
        <v>225</v>
      </c>
      <c r="I858" s="378">
        <v>1</v>
      </c>
      <c r="J858" s="378"/>
      <c r="K858" s="379">
        <v>22.14</v>
      </c>
      <c r="L858" s="379">
        <v>22.14</v>
      </c>
    </row>
    <row r="859" spans="2:12" ht="38.25" x14ac:dyDescent="0.25">
      <c r="B859" s="423" t="s">
        <v>188</v>
      </c>
      <c r="C859" s="376" t="s">
        <v>222</v>
      </c>
      <c r="D859" s="423" t="s">
        <v>31</v>
      </c>
      <c r="E859" s="423" t="s">
        <v>1114</v>
      </c>
      <c r="F859" s="515" t="s">
        <v>189</v>
      </c>
      <c r="G859" s="515"/>
      <c r="H859" s="377" t="s">
        <v>32</v>
      </c>
      <c r="I859" s="378">
        <v>0.4</v>
      </c>
      <c r="J859" s="378"/>
      <c r="K859" s="379">
        <v>16.39</v>
      </c>
      <c r="L859" s="379">
        <v>6.55</v>
      </c>
    </row>
    <row r="860" spans="2:12" ht="38.25" x14ac:dyDescent="0.25">
      <c r="B860" s="423" t="s">
        <v>188</v>
      </c>
      <c r="C860" s="376" t="s">
        <v>173</v>
      </c>
      <c r="D860" s="423" t="s">
        <v>31</v>
      </c>
      <c r="E860" s="423" t="s">
        <v>47</v>
      </c>
      <c r="F860" s="515" t="s">
        <v>189</v>
      </c>
      <c r="G860" s="515"/>
      <c r="H860" s="377" t="s">
        <v>32</v>
      </c>
      <c r="I860" s="378">
        <v>0.4</v>
      </c>
      <c r="J860" s="378"/>
      <c r="K860" s="379">
        <v>11.67</v>
      </c>
      <c r="L860" s="379">
        <v>4.66</v>
      </c>
    </row>
    <row r="861" spans="2:12" ht="15" x14ac:dyDescent="0.25">
      <c r="B861" s="424"/>
      <c r="C861" s="424"/>
      <c r="D861" s="424"/>
      <c r="E861" s="424"/>
      <c r="F861" s="424"/>
      <c r="G861" s="380"/>
      <c r="H861" s="424"/>
      <c r="I861" s="380"/>
      <c r="J861" s="424"/>
      <c r="K861" s="380"/>
      <c r="L861"/>
    </row>
    <row r="862" spans="2:12" ht="15.75" thickBot="1" x14ac:dyDescent="0.3">
      <c r="B862" s="424"/>
      <c r="C862" s="424"/>
      <c r="D862" s="424"/>
      <c r="E862" s="424"/>
      <c r="F862" s="424"/>
      <c r="G862" s="380"/>
      <c r="H862" s="424"/>
      <c r="I862" s="516"/>
      <c r="J862" s="516"/>
      <c r="K862" s="380"/>
      <c r="L862"/>
    </row>
    <row r="863" spans="2:12" ht="13.5" thickTop="1" x14ac:dyDescent="0.25">
      <c r="B863" s="381"/>
      <c r="C863" s="381"/>
      <c r="D863" s="381"/>
      <c r="E863" s="381"/>
      <c r="F863" s="381"/>
      <c r="G863" s="381"/>
      <c r="H863" s="381"/>
      <c r="I863" s="381"/>
      <c r="J863" s="381"/>
      <c r="K863" s="381"/>
      <c r="L863" s="381"/>
    </row>
    <row r="864" spans="2:12" ht="15" x14ac:dyDescent="0.25">
      <c r="B864" s="420" t="s">
        <v>1590</v>
      </c>
      <c r="C864" s="366" t="s">
        <v>0</v>
      </c>
      <c r="D864" s="420" t="s">
        <v>183</v>
      </c>
      <c r="E864" s="420" t="s">
        <v>82</v>
      </c>
      <c r="F864" s="517" t="s">
        <v>1</v>
      </c>
      <c r="G864" s="517"/>
      <c r="H864" s="367" t="s">
        <v>3</v>
      </c>
      <c r="I864" s="366" t="s">
        <v>184</v>
      </c>
      <c r="J864" s="366" t="s">
        <v>1426</v>
      </c>
      <c r="K864" s="366" t="s">
        <v>185</v>
      </c>
      <c r="L864" s="366" t="s">
        <v>4</v>
      </c>
    </row>
    <row r="865" spans="2:12" ht="25.5" x14ac:dyDescent="0.25">
      <c r="B865" s="421" t="s">
        <v>7</v>
      </c>
      <c r="C865" s="368" t="s">
        <v>970</v>
      </c>
      <c r="D865" s="421" t="s">
        <v>212</v>
      </c>
      <c r="E865" s="421" t="s">
        <v>971</v>
      </c>
      <c r="F865" s="518" t="s">
        <v>1285</v>
      </c>
      <c r="G865" s="518"/>
      <c r="H865" s="369" t="s">
        <v>22</v>
      </c>
      <c r="I865" s="370">
        <v>1</v>
      </c>
      <c r="J865" s="371"/>
      <c r="K865" s="371">
        <v>31.73</v>
      </c>
      <c r="L865" s="371">
        <v>31.73</v>
      </c>
    </row>
    <row r="866" spans="2:12" ht="38.25" x14ac:dyDescent="0.25">
      <c r="B866" s="422" t="s">
        <v>187</v>
      </c>
      <c r="C866" s="372" t="s">
        <v>237</v>
      </c>
      <c r="D866" s="422" t="s">
        <v>31</v>
      </c>
      <c r="E866" s="422" t="s">
        <v>238</v>
      </c>
      <c r="F866" s="519" t="s">
        <v>186</v>
      </c>
      <c r="G866" s="519"/>
      <c r="H866" s="373" t="s">
        <v>32</v>
      </c>
      <c r="I866" s="374">
        <v>0.309</v>
      </c>
      <c r="J866" s="374"/>
      <c r="K866" s="375">
        <v>17.7</v>
      </c>
      <c r="L866" s="375">
        <v>5.46</v>
      </c>
    </row>
    <row r="867" spans="2:12" ht="38.25" x14ac:dyDescent="0.25">
      <c r="B867" s="422" t="s">
        <v>187</v>
      </c>
      <c r="C867" s="372" t="s">
        <v>239</v>
      </c>
      <c r="D867" s="422" t="s">
        <v>31</v>
      </c>
      <c r="E867" s="422" t="s">
        <v>240</v>
      </c>
      <c r="F867" s="519" t="s">
        <v>186</v>
      </c>
      <c r="G867" s="519"/>
      <c r="H867" s="373" t="s">
        <v>32</v>
      </c>
      <c r="I867" s="374">
        <v>0.309</v>
      </c>
      <c r="J867" s="374"/>
      <c r="K867" s="375">
        <v>21.73</v>
      </c>
      <c r="L867" s="375">
        <v>6.71</v>
      </c>
    </row>
    <row r="868" spans="2:12" x14ac:dyDescent="0.25">
      <c r="B868" s="423" t="s">
        <v>188</v>
      </c>
      <c r="C868" s="376" t="s">
        <v>1171</v>
      </c>
      <c r="D868" s="423" t="s">
        <v>212</v>
      </c>
      <c r="E868" s="423" t="s">
        <v>1172</v>
      </c>
      <c r="F868" s="515" t="s">
        <v>198</v>
      </c>
      <c r="G868" s="515"/>
      <c r="H868" s="377" t="s">
        <v>22</v>
      </c>
      <c r="I868" s="378">
        <v>1</v>
      </c>
      <c r="J868" s="378"/>
      <c r="K868" s="379">
        <v>19.559999999999999</v>
      </c>
      <c r="L868" s="379">
        <v>19.559999999999999</v>
      </c>
    </row>
    <row r="869" spans="2:12" ht="15" x14ac:dyDescent="0.25">
      <c r="B869" s="424"/>
      <c r="C869" s="424"/>
      <c r="D869" s="424"/>
      <c r="E869" s="424"/>
      <c r="F869" s="424"/>
      <c r="G869" s="380"/>
      <c r="H869" s="424"/>
      <c r="I869" s="380"/>
      <c r="J869" s="424"/>
      <c r="K869" s="380"/>
      <c r="L869"/>
    </row>
    <row r="870" spans="2:12" ht="15" x14ac:dyDescent="0.25">
      <c r="B870" s="424"/>
      <c r="C870" s="424"/>
      <c r="D870" s="424"/>
      <c r="E870" s="424"/>
      <c r="F870" s="424"/>
      <c r="G870" s="380"/>
      <c r="H870" s="424"/>
      <c r="I870" s="516"/>
      <c r="J870" s="516"/>
      <c r="K870" s="380"/>
      <c r="L870"/>
    </row>
    <row r="871" spans="2:12" ht="15" x14ac:dyDescent="0.25">
      <c r="B871" s="420" t="s">
        <v>1591</v>
      </c>
      <c r="C871" s="366" t="s">
        <v>0</v>
      </c>
      <c r="D871" s="420" t="s">
        <v>183</v>
      </c>
      <c r="E871" s="420" t="s">
        <v>82</v>
      </c>
      <c r="F871" s="517" t="s">
        <v>1</v>
      </c>
      <c r="G871" s="517"/>
      <c r="H871" s="367" t="s">
        <v>3</v>
      </c>
      <c r="I871" s="366" t="s">
        <v>184</v>
      </c>
      <c r="J871" s="366" t="s">
        <v>1426</v>
      </c>
      <c r="K871" s="366" t="s">
        <v>185</v>
      </c>
      <c r="L871" s="366" t="s">
        <v>4</v>
      </c>
    </row>
    <row r="872" spans="2:12" ht="38.25" x14ac:dyDescent="0.25">
      <c r="B872" s="421" t="s">
        <v>7</v>
      </c>
      <c r="C872" s="368" t="s">
        <v>1487</v>
      </c>
      <c r="D872" s="421" t="s">
        <v>31</v>
      </c>
      <c r="E872" s="421" t="s">
        <v>1363</v>
      </c>
      <c r="F872" s="518" t="s">
        <v>215</v>
      </c>
      <c r="G872" s="518"/>
      <c r="H872" s="369" t="s">
        <v>35</v>
      </c>
      <c r="I872" s="370">
        <v>1</v>
      </c>
      <c r="J872" s="371"/>
      <c r="K872" s="371">
        <v>13.21</v>
      </c>
      <c r="L872" s="371">
        <v>13.21</v>
      </c>
    </row>
    <row r="873" spans="2:12" ht="51" x14ac:dyDescent="0.25">
      <c r="B873" s="422" t="s">
        <v>187</v>
      </c>
      <c r="C873" s="372" t="s">
        <v>1488</v>
      </c>
      <c r="D873" s="422" t="s">
        <v>31</v>
      </c>
      <c r="E873" s="422" t="s">
        <v>1489</v>
      </c>
      <c r="F873" s="519" t="s">
        <v>236</v>
      </c>
      <c r="G873" s="519"/>
      <c r="H873" s="373" t="s">
        <v>35</v>
      </c>
      <c r="I873" s="374">
        <v>1</v>
      </c>
      <c r="J873" s="374"/>
      <c r="K873" s="375">
        <v>2.5499999999999998</v>
      </c>
      <c r="L873" s="375">
        <v>2.5499999999999998</v>
      </c>
    </row>
    <row r="874" spans="2:12" ht="38.25" x14ac:dyDescent="0.25">
      <c r="B874" s="422" t="s">
        <v>187</v>
      </c>
      <c r="C874" s="372" t="s">
        <v>216</v>
      </c>
      <c r="D874" s="422" t="s">
        <v>31</v>
      </c>
      <c r="E874" s="422" t="s">
        <v>217</v>
      </c>
      <c r="F874" s="519" t="s">
        <v>186</v>
      </c>
      <c r="G874" s="519"/>
      <c r="H874" s="373" t="s">
        <v>32</v>
      </c>
      <c r="I874" s="374">
        <v>0.106</v>
      </c>
      <c r="J874" s="374"/>
      <c r="K874" s="375">
        <v>18.48</v>
      </c>
      <c r="L874" s="375">
        <v>1.95</v>
      </c>
    </row>
    <row r="875" spans="2:12" ht="38.25" x14ac:dyDescent="0.25">
      <c r="B875" s="422" t="s">
        <v>187</v>
      </c>
      <c r="C875" s="372" t="s">
        <v>218</v>
      </c>
      <c r="D875" s="422" t="s">
        <v>31</v>
      </c>
      <c r="E875" s="422" t="s">
        <v>219</v>
      </c>
      <c r="F875" s="519" t="s">
        <v>186</v>
      </c>
      <c r="G875" s="519"/>
      <c r="H875" s="373" t="s">
        <v>32</v>
      </c>
      <c r="I875" s="374">
        <v>0.106</v>
      </c>
      <c r="J875" s="374"/>
      <c r="K875" s="375">
        <v>22.58</v>
      </c>
      <c r="L875" s="375">
        <v>2.39</v>
      </c>
    </row>
    <row r="876" spans="2:12" ht="38.25" x14ac:dyDescent="0.25">
      <c r="B876" s="423" t="s">
        <v>188</v>
      </c>
      <c r="C876" s="376" t="s">
        <v>1490</v>
      </c>
      <c r="D876" s="423" t="s">
        <v>31</v>
      </c>
      <c r="E876" s="423" t="s">
        <v>1491</v>
      </c>
      <c r="F876" s="515" t="s">
        <v>198</v>
      </c>
      <c r="G876" s="515"/>
      <c r="H876" s="377" t="s">
        <v>35</v>
      </c>
      <c r="I876" s="378">
        <v>1.0169999999999999</v>
      </c>
      <c r="J876" s="378"/>
      <c r="K876" s="379">
        <v>6.22</v>
      </c>
      <c r="L876" s="379">
        <v>6.32</v>
      </c>
    </row>
    <row r="877" spans="2:12" ht="15" x14ac:dyDescent="0.25">
      <c r="B877" s="424"/>
      <c r="C877" s="424"/>
      <c r="D877" s="424"/>
      <c r="E877" s="424"/>
      <c r="F877" s="424"/>
      <c r="G877" s="380"/>
      <c r="H877" s="424"/>
      <c r="I877" s="380"/>
      <c r="J877" s="424"/>
      <c r="K877" s="380"/>
      <c r="L877"/>
    </row>
    <row r="878" spans="2:12" ht="15.75" thickBot="1" x14ac:dyDescent="0.3">
      <c r="B878" s="424"/>
      <c r="C878" s="424"/>
      <c r="D878" s="424"/>
      <c r="E878" s="424"/>
      <c r="F878" s="424"/>
      <c r="G878" s="380"/>
      <c r="H878" s="424"/>
      <c r="I878" s="516"/>
      <c r="J878" s="516"/>
      <c r="K878" s="380"/>
      <c r="L878"/>
    </row>
    <row r="879" spans="2:12" ht="13.5" thickTop="1" x14ac:dyDescent="0.25">
      <c r="B879" s="381"/>
      <c r="C879" s="381"/>
      <c r="D879" s="381"/>
      <c r="E879" s="381"/>
      <c r="F879" s="381"/>
      <c r="G879" s="381"/>
      <c r="H879" s="381"/>
      <c r="I879" s="381"/>
      <c r="J879" s="381"/>
      <c r="K879" s="381"/>
      <c r="L879" s="381"/>
    </row>
    <row r="880" spans="2:12" ht="15" x14ac:dyDescent="0.25">
      <c r="B880" s="420" t="s">
        <v>1001</v>
      </c>
      <c r="C880" s="366" t="s">
        <v>0</v>
      </c>
      <c r="D880" s="420" t="s">
        <v>183</v>
      </c>
      <c r="E880" s="420" t="s">
        <v>82</v>
      </c>
      <c r="F880" s="517" t="s">
        <v>1</v>
      </c>
      <c r="G880" s="517"/>
      <c r="H880" s="367" t="s">
        <v>3</v>
      </c>
      <c r="I880" s="366" t="s">
        <v>184</v>
      </c>
      <c r="J880" s="366" t="s">
        <v>1426</v>
      </c>
      <c r="K880" s="366" t="s">
        <v>185</v>
      </c>
      <c r="L880" s="366" t="s">
        <v>4</v>
      </c>
    </row>
    <row r="881" spans="2:12" ht="25.5" x14ac:dyDescent="0.25">
      <c r="B881" s="421" t="s">
        <v>7</v>
      </c>
      <c r="C881" s="368" t="s">
        <v>754</v>
      </c>
      <c r="D881" s="421" t="s">
        <v>124</v>
      </c>
      <c r="E881" s="421" t="s">
        <v>541</v>
      </c>
      <c r="F881" s="518" t="s">
        <v>250</v>
      </c>
      <c r="G881" s="518"/>
      <c r="H881" s="369" t="s">
        <v>22</v>
      </c>
      <c r="I881" s="370">
        <v>1</v>
      </c>
      <c r="J881" s="371"/>
      <c r="K881" s="371">
        <v>80.89</v>
      </c>
      <c r="L881" s="371">
        <v>80.89</v>
      </c>
    </row>
    <row r="882" spans="2:12" ht="38.25" x14ac:dyDescent="0.25">
      <c r="B882" s="422" t="s">
        <v>187</v>
      </c>
      <c r="C882" s="372" t="s">
        <v>216</v>
      </c>
      <c r="D882" s="422" t="s">
        <v>31</v>
      </c>
      <c r="E882" s="422" t="s">
        <v>217</v>
      </c>
      <c r="F882" s="519" t="s">
        <v>186</v>
      </c>
      <c r="G882" s="519"/>
      <c r="H882" s="373" t="s">
        <v>32</v>
      </c>
      <c r="I882" s="374">
        <v>0.20619999999999999</v>
      </c>
      <c r="J882" s="374"/>
      <c r="K882" s="375">
        <v>18.48</v>
      </c>
      <c r="L882" s="375">
        <v>3.81</v>
      </c>
    </row>
    <row r="883" spans="2:12" ht="38.25" x14ac:dyDescent="0.25">
      <c r="B883" s="422" t="s">
        <v>187</v>
      </c>
      <c r="C883" s="372" t="s">
        <v>218</v>
      </c>
      <c r="D883" s="422" t="s">
        <v>31</v>
      </c>
      <c r="E883" s="422" t="s">
        <v>219</v>
      </c>
      <c r="F883" s="519" t="s">
        <v>186</v>
      </c>
      <c r="G883" s="519"/>
      <c r="H883" s="373" t="s">
        <v>32</v>
      </c>
      <c r="I883" s="374">
        <v>0.20619999999999999</v>
      </c>
      <c r="J883" s="374"/>
      <c r="K883" s="375">
        <v>22.58</v>
      </c>
      <c r="L883" s="375">
        <v>4.6500000000000004</v>
      </c>
    </row>
    <row r="884" spans="2:12" ht="38.25" x14ac:dyDescent="0.25">
      <c r="B884" s="422" t="s">
        <v>187</v>
      </c>
      <c r="C884" s="372" t="s">
        <v>320</v>
      </c>
      <c r="D884" s="422" t="s">
        <v>31</v>
      </c>
      <c r="E884" s="422" t="s">
        <v>321</v>
      </c>
      <c r="F884" s="519" t="s">
        <v>215</v>
      </c>
      <c r="G884" s="519"/>
      <c r="H884" s="373" t="s">
        <v>22</v>
      </c>
      <c r="I884" s="374">
        <v>1</v>
      </c>
      <c r="J884" s="374"/>
      <c r="K884" s="375">
        <v>7.27</v>
      </c>
      <c r="L884" s="375">
        <v>7.27</v>
      </c>
    </row>
    <row r="885" spans="2:12" ht="38.25" x14ac:dyDescent="0.25">
      <c r="B885" s="423" t="s">
        <v>188</v>
      </c>
      <c r="C885" s="376" t="s">
        <v>322</v>
      </c>
      <c r="D885" s="423" t="s">
        <v>31</v>
      </c>
      <c r="E885" s="423" t="s">
        <v>323</v>
      </c>
      <c r="F885" s="515" t="s">
        <v>198</v>
      </c>
      <c r="G885" s="515"/>
      <c r="H885" s="377" t="s">
        <v>22</v>
      </c>
      <c r="I885" s="378">
        <v>2</v>
      </c>
      <c r="J885" s="378"/>
      <c r="K885" s="379">
        <v>32.58</v>
      </c>
      <c r="L885" s="379">
        <v>65.16</v>
      </c>
    </row>
    <row r="886" spans="2:12" ht="15" x14ac:dyDescent="0.25">
      <c r="B886" s="424"/>
      <c r="C886" s="424"/>
      <c r="D886" s="424"/>
      <c r="E886" s="424"/>
      <c r="F886" s="424"/>
      <c r="G886" s="380"/>
      <c r="H886" s="424"/>
      <c r="I886" s="380"/>
      <c r="J886" s="424"/>
      <c r="K886" s="380"/>
      <c r="L886"/>
    </row>
    <row r="887" spans="2:12" ht="15" x14ac:dyDescent="0.25">
      <c r="B887" s="424"/>
      <c r="C887" s="424"/>
      <c r="D887" s="424"/>
      <c r="E887" s="424"/>
      <c r="F887" s="424"/>
      <c r="G887" s="380"/>
      <c r="H887" s="424"/>
      <c r="I887" s="516"/>
      <c r="J887" s="516"/>
      <c r="K887" s="380"/>
      <c r="L887"/>
    </row>
    <row r="888" spans="2:12" ht="15" x14ac:dyDescent="0.25">
      <c r="B888" s="420" t="s">
        <v>1382</v>
      </c>
      <c r="C888" s="366" t="s">
        <v>0</v>
      </c>
      <c r="D888" s="420" t="s">
        <v>183</v>
      </c>
      <c r="E888" s="420" t="s">
        <v>82</v>
      </c>
      <c r="F888" s="517" t="s">
        <v>1</v>
      </c>
      <c r="G888" s="517"/>
      <c r="H888" s="367" t="s">
        <v>3</v>
      </c>
      <c r="I888" s="366" t="s">
        <v>184</v>
      </c>
      <c r="J888" s="366" t="s">
        <v>1426</v>
      </c>
      <c r="K888" s="366" t="s">
        <v>185</v>
      </c>
      <c r="L888" s="366" t="s">
        <v>4</v>
      </c>
    </row>
    <row r="889" spans="2:12" ht="25.5" x14ac:dyDescent="0.25">
      <c r="B889" s="421" t="s">
        <v>7</v>
      </c>
      <c r="C889" s="368" t="s">
        <v>1007</v>
      </c>
      <c r="D889" s="421" t="s">
        <v>874</v>
      </c>
      <c r="E889" s="421" t="s">
        <v>1008</v>
      </c>
      <c r="F889" s="518">
        <v>7</v>
      </c>
      <c r="G889" s="518"/>
      <c r="H889" s="369" t="s">
        <v>824</v>
      </c>
      <c r="I889" s="370">
        <v>1</v>
      </c>
      <c r="J889" s="371"/>
      <c r="K889" s="371">
        <v>27.19</v>
      </c>
      <c r="L889" s="371">
        <v>27.19</v>
      </c>
    </row>
    <row r="890" spans="2:12" ht="27.95" customHeight="1" x14ac:dyDescent="0.25">
      <c r="B890" s="423" t="s">
        <v>188</v>
      </c>
      <c r="C890" s="376" t="s">
        <v>1592</v>
      </c>
      <c r="D890" s="423" t="s">
        <v>874</v>
      </c>
      <c r="E890" s="423" t="s">
        <v>1008</v>
      </c>
      <c r="F890" s="515" t="s">
        <v>198</v>
      </c>
      <c r="G890" s="515"/>
      <c r="H890" s="377" t="s">
        <v>225</v>
      </c>
      <c r="I890" s="378">
        <v>1</v>
      </c>
      <c r="J890" s="378"/>
      <c r="K890" s="379">
        <v>15.8</v>
      </c>
      <c r="L890" s="379">
        <v>15.8</v>
      </c>
    </row>
    <row r="891" spans="2:12" ht="27.95" customHeight="1" x14ac:dyDescent="0.25">
      <c r="B891" s="423" t="s">
        <v>188</v>
      </c>
      <c r="C891" s="376" t="s">
        <v>1101</v>
      </c>
      <c r="D891" s="423" t="s">
        <v>874</v>
      </c>
      <c r="E891" s="423" t="s">
        <v>1102</v>
      </c>
      <c r="F891" s="515" t="s">
        <v>189</v>
      </c>
      <c r="G891" s="515"/>
      <c r="H891" s="377" t="s">
        <v>1099</v>
      </c>
      <c r="I891" s="378">
        <v>0.37</v>
      </c>
      <c r="J891" s="378"/>
      <c r="K891" s="379">
        <v>12.31</v>
      </c>
      <c r="L891" s="379">
        <v>4.55</v>
      </c>
    </row>
    <row r="892" spans="2:12" ht="14.1" customHeight="1" x14ac:dyDescent="0.25">
      <c r="B892" s="423" t="s">
        <v>188</v>
      </c>
      <c r="C892" s="376" t="s">
        <v>1103</v>
      </c>
      <c r="D892" s="423" t="s">
        <v>874</v>
      </c>
      <c r="E892" s="423" t="s">
        <v>223</v>
      </c>
      <c r="F892" s="515" t="s">
        <v>189</v>
      </c>
      <c r="G892" s="515"/>
      <c r="H892" s="377" t="s">
        <v>1099</v>
      </c>
      <c r="I892" s="378">
        <v>0.37</v>
      </c>
      <c r="J892" s="378"/>
      <c r="K892" s="379">
        <v>18.510000000000002</v>
      </c>
      <c r="L892" s="379">
        <v>6.84</v>
      </c>
    </row>
    <row r="893" spans="2:12" ht="15" x14ac:dyDescent="0.25">
      <c r="B893" s="424"/>
      <c r="C893" s="424"/>
      <c r="D893" s="424"/>
      <c r="E893" s="424"/>
      <c r="F893" s="424"/>
      <c r="G893" s="380"/>
      <c r="H893" s="424"/>
      <c r="I893" s="380"/>
      <c r="J893" s="424"/>
      <c r="K893" s="380"/>
      <c r="L893"/>
    </row>
    <row r="894" spans="2:12" ht="15" x14ac:dyDescent="0.25">
      <c r="B894" s="424"/>
      <c r="C894" s="424"/>
      <c r="D894" s="424"/>
      <c r="E894" s="424"/>
      <c r="F894" s="424"/>
      <c r="G894" s="380"/>
      <c r="H894" s="424"/>
      <c r="I894" s="516"/>
      <c r="J894" s="516"/>
      <c r="K894" s="380"/>
      <c r="L894"/>
    </row>
    <row r="895" spans="2:12" ht="15" x14ac:dyDescent="0.25">
      <c r="B895" s="420" t="s">
        <v>1593</v>
      </c>
      <c r="C895" s="366" t="s">
        <v>0</v>
      </c>
      <c r="D895" s="420" t="s">
        <v>183</v>
      </c>
      <c r="E895" s="420" t="s">
        <v>82</v>
      </c>
      <c r="F895" s="517" t="s">
        <v>1</v>
      </c>
      <c r="G895" s="517"/>
      <c r="H895" s="367" t="s">
        <v>3</v>
      </c>
      <c r="I895" s="366" t="s">
        <v>184</v>
      </c>
      <c r="J895" s="366" t="s">
        <v>1426</v>
      </c>
      <c r="K895" s="366" t="s">
        <v>185</v>
      </c>
      <c r="L895" s="366" t="s">
        <v>4</v>
      </c>
    </row>
    <row r="896" spans="2:12" ht="25.5" x14ac:dyDescent="0.25">
      <c r="B896" s="421" t="s">
        <v>7</v>
      </c>
      <c r="C896" s="368" t="s">
        <v>1005</v>
      </c>
      <c r="D896" s="421" t="s">
        <v>212</v>
      </c>
      <c r="E896" s="421" t="s">
        <v>1006</v>
      </c>
      <c r="F896" s="518" t="s">
        <v>1286</v>
      </c>
      <c r="G896" s="518"/>
      <c r="H896" s="369" t="s">
        <v>22</v>
      </c>
      <c r="I896" s="370">
        <v>1</v>
      </c>
      <c r="J896" s="371"/>
      <c r="K896" s="371">
        <v>4.62</v>
      </c>
      <c r="L896" s="371">
        <v>4.62</v>
      </c>
    </row>
    <row r="897" spans="2:12" ht="38.25" x14ac:dyDescent="0.25">
      <c r="B897" s="422" t="s">
        <v>187</v>
      </c>
      <c r="C897" s="372" t="s">
        <v>218</v>
      </c>
      <c r="D897" s="422" t="s">
        <v>31</v>
      </c>
      <c r="E897" s="422" t="s">
        <v>219</v>
      </c>
      <c r="F897" s="519" t="s">
        <v>186</v>
      </c>
      <c r="G897" s="519"/>
      <c r="H897" s="373" t="s">
        <v>32</v>
      </c>
      <c r="I897" s="374">
        <v>0.10299999999999999</v>
      </c>
      <c r="J897" s="374"/>
      <c r="K897" s="375">
        <v>22.58</v>
      </c>
      <c r="L897" s="375">
        <v>2.3199999999999998</v>
      </c>
    </row>
    <row r="898" spans="2:12" x14ac:dyDescent="0.25">
      <c r="B898" s="423" t="s">
        <v>188</v>
      </c>
      <c r="C898" s="376" t="s">
        <v>1185</v>
      </c>
      <c r="D898" s="423" t="s">
        <v>212</v>
      </c>
      <c r="E898" s="423" t="s">
        <v>1186</v>
      </c>
      <c r="F898" s="515" t="s">
        <v>198</v>
      </c>
      <c r="G898" s="515"/>
      <c r="H898" s="377" t="s">
        <v>22</v>
      </c>
      <c r="I898" s="378">
        <v>1</v>
      </c>
      <c r="J898" s="378"/>
      <c r="K898" s="379">
        <v>2.2999999999999998</v>
      </c>
      <c r="L898" s="379">
        <v>2.2999999999999998</v>
      </c>
    </row>
    <row r="899" spans="2:12" ht="15" x14ac:dyDescent="0.25">
      <c r="B899" s="424"/>
      <c r="C899" s="424"/>
      <c r="D899" s="424"/>
      <c r="E899" s="424"/>
      <c r="F899" s="424"/>
      <c r="G899" s="380"/>
      <c r="H899" s="424"/>
      <c r="I899" s="380"/>
      <c r="J899" s="424"/>
      <c r="K899" s="380"/>
      <c r="L899"/>
    </row>
    <row r="900" spans="2:12" ht="15" x14ac:dyDescent="0.25">
      <c r="B900" s="424"/>
      <c r="C900" s="424"/>
      <c r="D900" s="424"/>
      <c r="E900" s="424"/>
      <c r="F900" s="424"/>
      <c r="G900" s="380"/>
      <c r="H900" s="424"/>
      <c r="I900" s="516"/>
      <c r="J900" s="516"/>
      <c r="K900" s="380"/>
      <c r="L900"/>
    </row>
    <row r="901" spans="2:12" ht="15" x14ac:dyDescent="0.25">
      <c r="B901" s="420" t="s">
        <v>1384</v>
      </c>
      <c r="C901" s="366" t="s">
        <v>0</v>
      </c>
      <c r="D901" s="420" t="s">
        <v>183</v>
      </c>
      <c r="E901" s="420" t="s">
        <v>82</v>
      </c>
      <c r="F901" s="517" t="s">
        <v>1</v>
      </c>
      <c r="G901" s="517"/>
      <c r="H901" s="367" t="s">
        <v>3</v>
      </c>
      <c r="I901" s="366" t="s">
        <v>184</v>
      </c>
      <c r="J901" s="366" t="s">
        <v>1426</v>
      </c>
      <c r="K901" s="366" t="s">
        <v>185</v>
      </c>
      <c r="L901" s="366" t="s">
        <v>4</v>
      </c>
    </row>
    <row r="902" spans="2:12" ht="25.5" x14ac:dyDescent="0.25">
      <c r="B902" s="421" t="s">
        <v>7</v>
      </c>
      <c r="C902" s="368" t="s">
        <v>1009</v>
      </c>
      <c r="D902" s="421" t="s">
        <v>874</v>
      </c>
      <c r="E902" s="421" t="s">
        <v>1010</v>
      </c>
      <c r="F902" s="518">
        <v>7</v>
      </c>
      <c r="G902" s="518"/>
      <c r="H902" s="369" t="s">
        <v>824</v>
      </c>
      <c r="I902" s="370">
        <v>1</v>
      </c>
      <c r="J902" s="371"/>
      <c r="K902" s="371">
        <v>4.55</v>
      </c>
      <c r="L902" s="371">
        <v>4.55</v>
      </c>
    </row>
    <row r="903" spans="2:12" ht="25.5" x14ac:dyDescent="0.25">
      <c r="B903" s="423" t="s">
        <v>188</v>
      </c>
      <c r="C903" s="376" t="s">
        <v>1594</v>
      </c>
      <c r="D903" s="423" t="s">
        <v>874</v>
      </c>
      <c r="E903" s="423" t="s">
        <v>1010</v>
      </c>
      <c r="F903" s="515" t="s">
        <v>198</v>
      </c>
      <c r="G903" s="515"/>
      <c r="H903" s="377" t="s">
        <v>225</v>
      </c>
      <c r="I903" s="378">
        <v>1</v>
      </c>
      <c r="J903" s="378"/>
      <c r="K903" s="379">
        <v>3.64</v>
      </c>
      <c r="L903" s="379">
        <v>3.64</v>
      </c>
    </row>
    <row r="904" spans="2:12" ht="25.5" x14ac:dyDescent="0.25">
      <c r="B904" s="423" t="s">
        <v>188</v>
      </c>
      <c r="C904" s="376" t="s">
        <v>1101</v>
      </c>
      <c r="D904" s="423" t="s">
        <v>874</v>
      </c>
      <c r="E904" s="423" t="s">
        <v>1102</v>
      </c>
      <c r="F904" s="515" t="s">
        <v>189</v>
      </c>
      <c r="G904" s="515"/>
      <c r="H904" s="377" t="s">
        <v>1099</v>
      </c>
      <c r="I904" s="378">
        <v>0.03</v>
      </c>
      <c r="J904" s="378"/>
      <c r="K904" s="379">
        <v>12.31</v>
      </c>
      <c r="L904" s="379">
        <v>0.36</v>
      </c>
    </row>
    <row r="905" spans="2:12" ht="25.5" x14ac:dyDescent="0.25">
      <c r="B905" s="423" t="s">
        <v>188</v>
      </c>
      <c r="C905" s="376" t="s">
        <v>1103</v>
      </c>
      <c r="D905" s="423" t="s">
        <v>874</v>
      </c>
      <c r="E905" s="423" t="s">
        <v>223</v>
      </c>
      <c r="F905" s="515" t="s">
        <v>189</v>
      </c>
      <c r="G905" s="515"/>
      <c r="H905" s="377" t="s">
        <v>1099</v>
      </c>
      <c r="I905" s="378">
        <v>0.03</v>
      </c>
      <c r="J905" s="378"/>
      <c r="K905" s="379">
        <v>18.510000000000002</v>
      </c>
      <c r="L905" s="379">
        <v>0.55000000000000004</v>
      </c>
    </row>
    <row r="906" spans="2:12" ht="15" x14ac:dyDescent="0.25">
      <c r="B906" s="424"/>
      <c r="C906" s="424"/>
      <c r="D906" s="424"/>
      <c r="E906" s="424"/>
      <c r="F906" s="424"/>
      <c r="G906" s="380"/>
      <c r="H906" s="424"/>
      <c r="I906" s="380"/>
      <c r="J906" s="424"/>
      <c r="K906" s="380"/>
      <c r="L906"/>
    </row>
    <row r="907" spans="2:12" ht="15" x14ac:dyDescent="0.25">
      <c r="B907" s="424"/>
      <c r="C907" s="424"/>
      <c r="D907" s="424"/>
      <c r="E907" s="424"/>
      <c r="F907" s="424"/>
      <c r="G907" s="380"/>
      <c r="H907" s="424"/>
      <c r="I907" s="516"/>
      <c r="J907" s="516"/>
      <c r="K907" s="380"/>
      <c r="L907"/>
    </row>
    <row r="908" spans="2:12" ht="15" x14ac:dyDescent="0.25">
      <c r="B908" s="420" t="s">
        <v>1597</v>
      </c>
      <c r="C908" s="366" t="s">
        <v>0</v>
      </c>
      <c r="D908" s="420" t="s">
        <v>183</v>
      </c>
      <c r="E908" s="420" t="s">
        <v>82</v>
      </c>
      <c r="F908" s="517" t="s">
        <v>1</v>
      </c>
      <c r="G908" s="517"/>
      <c r="H908" s="367" t="s">
        <v>3</v>
      </c>
      <c r="I908" s="366" t="s">
        <v>184</v>
      </c>
      <c r="J908" s="366" t="s">
        <v>1426</v>
      </c>
      <c r="K908" s="366" t="s">
        <v>185</v>
      </c>
      <c r="L908" s="366" t="s">
        <v>4</v>
      </c>
    </row>
    <row r="909" spans="2:12" ht="38.25" x14ac:dyDescent="0.25">
      <c r="B909" s="421" t="s">
        <v>7</v>
      </c>
      <c r="C909" s="368" t="s">
        <v>1011</v>
      </c>
      <c r="D909" s="421" t="s">
        <v>264</v>
      </c>
      <c r="E909" s="421" t="s">
        <v>1012</v>
      </c>
      <c r="F909" s="518">
        <v>40.04</v>
      </c>
      <c r="G909" s="518"/>
      <c r="H909" s="369" t="s">
        <v>22</v>
      </c>
      <c r="I909" s="370">
        <v>1</v>
      </c>
      <c r="J909" s="371"/>
      <c r="K909" s="371">
        <v>70.260000000000005</v>
      </c>
      <c r="L909" s="371">
        <v>70.260000000000005</v>
      </c>
    </row>
    <row r="910" spans="2:12" ht="38.25" x14ac:dyDescent="0.25">
      <c r="B910" s="423" t="s">
        <v>188</v>
      </c>
      <c r="C910" s="376" t="s">
        <v>1115</v>
      </c>
      <c r="D910" s="423" t="s">
        <v>264</v>
      </c>
      <c r="E910" s="423" t="s">
        <v>1116</v>
      </c>
      <c r="F910" s="515" t="s">
        <v>189</v>
      </c>
      <c r="G910" s="515"/>
      <c r="H910" s="377" t="s">
        <v>32</v>
      </c>
      <c r="I910" s="378">
        <v>0.3</v>
      </c>
      <c r="J910" s="378"/>
      <c r="K910" s="379">
        <v>25.22</v>
      </c>
      <c r="L910" s="379">
        <v>7.56</v>
      </c>
    </row>
    <row r="911" spans="2:12" ht="38.25" x14ac:dyDescent="0.25">
      <c r="B911" s="423" t="s">
        <v>188</v>
      </c>
      <c r="C911" s="376" t="s">
        <v>1117</v>
      </c>
      <c r="D911" s="423" t="s">
        <v>264</v>
      </c>
      <c r="E911" s="423" t="s">
        <v>1118</v>
      </c>
      <c r="F911" s="515" t="s">
        <v>189</v>
      </c>
      <c r="G911" s="515"/>
      <c r="H911" s="377" t="s">
        <v>32</v>
      </c>
      <c r="I911" s="378">
        <v>0.3</v>
      </c>
      <c r="J911" s="378"/>
      <c r="K911" s="379">
        <v>16.739999999999998</v>
      </c>
      <c r="L911" s="379">
        <v>5.0199999999999996</v>
      </c>
    </row>
    <row r="912" spans="2:12" ht="38.25" x14ac:dyDescent="0.25">
      <c r="B912" s="423" t="s">
        <v>188</v>
      </c>
      <c r="C912" s="376" t="s">
        <v>1595</v>
      </c>
      <c r="D912" s="423" t="s">
        <v>264</v>
      </c>
      <c r="E912" s="423" t="s">
        <v>1596</v>
      </c>
      <c r="F912" s="515" t="s">
        <v>198</v>
      </c>
      <c r="G912" s="515"/>
      <c r="H912" s="377" t="s">
        <v>22</v>
      </c>
      <c r="I912" s="378">
        <v>1</v>
      </c>
      <c r="J912" s="378"/>
      <c r="K912" s="379">
        <v>57.68</v>
      </c>
      <c r="L912" s="379">
        <v>57.68</v>
      </c>
    </row>
    <row r="913" spans="2:12" ht="15" x14ac:dyDescent="0.25">
      <c r="B913" s="424"/>
      <c r="C913" s="424"/>
      <c r="D913" s="424"/>
      <c r="E913" s="424"/>
      <c r="F913" s="424"/>
      <c r="G913" s="380"/>
      <c r="H913" s="424"/>
      <c r="I913" s="380"/>
      <c r="J913" s="424"/>
      <c r="K913" s="380"/>
      <c r="L913"/>
    </row>
    <row r="914" spans="2:12" ht="15.75" thickBot="1" x14ac:dyDescent="0.3">
      <c r="B914" s="424"/>
      <c r="C914" s="424"/>
      <c r="D914" s="424"/>
      <c r="E914" s="424"/>
      <c r="F914" s="424"/>
      <c r="G914" s="380"/>
      <c r="H914" s="424"/>
      <c r="I914" s="516"/>
      <c r="J914" s="516"/>
      <c r="K914" s="380"/>
      <c r="L914"/>
    </row>
    <row r="915" spans="2:12" ht="13.5" thickTop="1" x14ac:dyDescent="0.25">
      <c r="B915" s="381"/>
      <c r="C915" s="381"/>
      <c r="D915" s="381"/>
      <c r="E915" s="381"/>
      <c r="F915" s="381"/>
      <c r="G915" s="381"/>
      <c r="H915" s="381"/>
      <c r="I915" s="381"/>
      <c r="J915" s="381"/>
      <c r="K915" s="381"/>
      <c r="L915" s="381"/>
    </row>
    <row r="916" spans="2:12" ht="15" x14ac:dyDescent="0.25">
      <c r="B916" s="420" t="s">
        <v>1004</v>
      </c>
      <c r="C916" s="366" t="s">
        <v>0</v>
      </c>
      <c r="D916" s="420" t="s">
        <v>183</v>
      </c>
      <c r="E916" s="420" t="s">
        <v>82</v>
      </c>
      <c r="F916" s="517" t="s">
        <v>1</v>
      </c>
      <c r="G916" s="517"/>
      <c r="H916" s="367" t="s">
        <v>3</v>
      </c>
      <c r="I916" s="366" t="s">
        <v>184</v>
      </c>
      <c r="J916" s="366" t="s">
        <v>1426</v>
      </c>
      <c r="K916" s="366" t="s">
        <v>185</v>
      </c>
      <c r="L916" s="366" t="s">
        <v>4</v>
      </c>
    </row>
    <row r="917" spans="2:12" ht="51" x14ac:dyDescent="0.25">
      <c r="B917" s="421" t="s">
        <v>7</v>
      </c>
      <c r="C917" s="368" t="s">
        <v>1352</v>
      </c>
      <c r="D917" s="421" t="s">
        <v>124</v>
      </c>
      <c r="E917" s="421" t="s">
        <v>302</v>
      </c>
      <c r="F917" s="518" t="s">
        <v>1122</v>
      </c>
      <c r="G917" s="518"/>
      <c r="H917" s="369" t="s">
        <v>35</v>
      </c>
      <c r="I917" s="370">
        <v>1</v>
      </c>
      <c r="J917" s="371"/>
      <c r="K917" s="371">
        <v>49.24</v>
      </c>
      <c r="L917" s="371">
        <v>49.24</v>
      </c>
    </row>
    <row r="918" spans="2:12" ht="38.25" x14ac:dyDescent="0.25">
      <c r="B918" s="422" t="s">
        <v>187</v>
      </c>
      <c r="C918" s="372" t="s">
        <v>216</v>
      </c>
      <c r="D918" s="422" t="s">
        <v>31</v>
      </c>
      <c r="E918" s="422" t="s">
        <v>217</v>
      </c>
      <c r="F918" s="519" t="s">
        <v>186</v>
      </c>
      <c r="G918" s="519"/>
      <c r="H918" s="373" t="s">
        <v>32</v>
      </c>
      <c r="I918" s="374">
        <v>0.89500000000000002</v>
      </c>
      <c r="J918" s="374"/>
      <c r="K918" s="375">
        <v>18.48</v>
      </c>
      <c r="L918" s="375">
        <v>16.53</v>
      </c>
    </row>
    <row r="919" spans="2:12" ht="38.25" x14ac:dyDescent="0.25">
      <c r="B919" s="422" t="s">
        <v>187</v>
      </c>
      <c r="C919" s="372" t="s">
        <v>218</v>
      </c>
      <c r="D919" s="422" t="s">
        <v>31</v>
      </c>
      <c r="E919" s="422" t="s">
        <v>219</v>
      </c>
      <c r="F919" s="519" t="s">
        <v>186</v>
      </c>
      <c r="G919" s="519"/>
      <c r="H919" s="373" t="s">
        <v>32</v>
      </c>
      <c r="I919" s="374">
        <v>0.89500000000000002</v>
      </c>
      <c r="J919" s="374"/>
      <c r="K919" s="375">
        <v>22.58</v>
      </c>
      <c r="L919" s="375">
        <v>20.2</v>
      </c>
    </row>
    <row r="920" spans="2:12" ht="38.25" x14ac:dyDescent="0.25">
      <c r="B920" s="423" t="s">
        <v>188</v>
      </c>
      <c r="C920" s="376" t="s">
        <v>1522</v>
      </c>
      <c r="D920" s="423" t="s">
        <v>31</v>
      </c>
      <c r="E920" s="423" t="s">
        <v>1523</v>
      </c>
      <c r="F920" s="515" t="s">
        <v>198</v>
      </c>
      <c r="G920" s="515"/>
      <c r="H920" s="377" t="s">
        <v>35</v>
      </c>
      <c r="I920" s="378">
        <v>1</v>
      </c>
      <c r="J920" s="378"/>
      <c r="K920" s="379">
        <v>12.51</v>
      </c>
      <c r="L920" s="379">
        <v>12.51</v>
      </c>
    </row>
    <row r="921" spans="2:12" ht="15" x14ac:dyDescent="0.25">
      <c r="B921" s="424"/>
      <c r="C921" s="424"/>
      <c r="D921" s="424"/>
      <c r="E921" s="424"/>
      <c r="F921" s="424"/>
      <c r="G921" s="380"/>
      <c r="H921" s="424"/>
      <c r="I921" s="380"/>
      <c r="J921" s="424"/>
      <c r="K921" s="380"/>
      <c r="L921"/>
    </row>
    <row r="922" spans="2:12" ht="15" x14ac:dyDescent="0.25">
      <c r="B922" s="424"/>
      <c r="C922" s="424"/>
      <c r="D922" s="424"/>
      <c r="E922" s="424"/>
      <c r="F922" s="424"/>
      <c r="G922" s="380"/>
      <c r="H922" s="424"/>
      <c r="I922" s="516"/>
      <c r="J922" s="516"/>
      <c r="K922" s="380"/>
      <c r="L922"/>
    </row>
    <row r="923" spans="2:12" ht="15" x14ac:dyDescent="0.25">
      <c r="B923" s="420" t="s">
        <v>1388</v>
      </c>
      <c r="C923" s="366" t="s">
        <v>0</v>
      </c>
      <c r="D923" s="420" t="s">
        <v>183</v>
      </c>
      <c r="E923" s="420" t="s">
        <v>82</v>
      </c>
      <c r="F923" s="517" t="s">
        <v>1</v>
      </c>
      <c r="G923" s="517"/>
      <c r="H923" s="367" t="s">
        <v>3</v>
      </c>
      <c r="I923" s="366" t="s">
        <v>184</v>
      </c>
      <c r="J923" s="366" t="s">
        <v>1426</v>
      </c>
      <c r="K923" s="366" t="s">
        <v>185</v>
      </c>
      <c r="L923" s="366" t="s">
        <v>4</v>
      </c>
    </row>
    <row r="924" spans="2:12" ht="25.5" x14ac:dyDescent="0.25">
      <c r="B924" s="421" t="s">
        <v>7</v>
      </c>
      <c r="C924" s="368" t="s">
        <v>922</v>
      </c>
      <c r="D924" s="421" t="s">
        <v>175</v>
      </c>
      <c r="E924" s="421" t="s">
        <v>923</v>
      </c>
      <c r="F924" s="518" t="s">
        <v>1141</v>
      </c>
      <c r="G924" s="518"/>
      <c r="H924" s="369" t="s">
        <v>225</v>
      </c>
      <c r="I924" s="370">
        <v>1</v>
      </c>
      <c r="J924" s="371"/>
      <c r="K924" s="371">
        <v>11.92</v>
      </c>
      <c r="L924" s="371">
        <v>11.92</v>
      </c>
    </row>
    <row r="925" spans="2:12" ht="27.95" customHeight="1" x14ac:dyDescent="0.25">
      <c r="B925" s="422" t="s">
        <v>187</v>
      </c>
      <c r="C925" s="372" t="s">
        <v>1112</v>
      </c>
      <c r="D925" s="422" t="s">
        <v>175</v>
      </c>
      <c r="E925" s="422" t="s">
        <v>1113</v>
      </c>
      <c r="F925" s="519" t="s">
        <v>1098</v>
      </c>
      <c r="G925" s="519"/>
      <c r="H925" s="373" t="s">
        <v>1099</v>
      </c>
      <c r="I925" s="374">
        <v>0.2</v>
      </c>
      <c r="J925" s="374"/>
      <c r="K925" s="375">
        <v>3.51</v>
      </c>
      <c r="L925" s="375">
        <v>0.7</v>
      </c>
    </row>
    <row r="926" spans="2:12" ht="38.25" x14ac:dyDescent="0.25">
      <c r="B926" s="422" t="s">
        <v>187</v>
      </c>
      <c r="C926" s="372" t="s">
        <v>1096</v>
      </c>
      <c r="D926" s="422" t="s">
        <v>175</v>
      </c>
      <c r="E926" s="422" t="s">
        <v>1097</v>
      </c>
      <c r="F926" s="519" t="s">
        <v>1098</v>
      </c>
      <c r="G926" s="519"/>
      <c r="H926" s="373" t="s">
        <v>1099</v>
      </c>
      <c r="I926" s="374">
        <v>0.2</v>
      </c>
      <c r="J926" s="374"/>
      <c r="K926" s="375">
        <v>3.63</v>
      </c>
      <c r="L926" s="375">
        <v>0.72</v>
      </c>
    </row>
    <row r="927" spans="2:12" x14ac:dyDescent="0.25">
      <c r="B927" s="423" t="s">
        <v>188</v>
      </c>
      <c r="C927" s="376" t="s">
        <v>812</v>
      </c>
      <c r="D927" s="423" t="s">
        <v>175</v>
      </c>
      <c r="E927" s="423" t="s">
        <v>813</v>
      </c>
      <c r="F927" s="515" t="s">
        <v>198</v>
      </c>
      <c r="G927" s="515"/>
      <c r="H927" s="377" t="s">
        <v>225</v>
      </c>
      <c r="I927" s="378">
        <v>1</v>
      </c>
      <c r="J927" s="378"/>
      <c r="K927" s="379">
        <v>4.9000000000000004</v>
      </c>
      <c r="L927" s="379">
        <v>4.9000000000000004</v>
      </c>
    </row>
    <row r="928" spans="2:12" ht="14.1" customHeight="1" x14ac:dyDescent="0.25">
      <c r="B928" s="423" t="s">
        <v>188</v>
      </c>
      <c r="C928" s="376" t="s">
        <v>222</v>
      </c>
      <c r="D928" s="423" t="s">
        <v>31</v>
      </c>
      <c r="E928" s="423" t="s">
        <v>1114</v>
      </c>
      <c r="F928" s="515" t="s">
        <v>189</v>
      </c>
      <c r="G928" s="515"/>
      <c r="H928" s="377" t="s">
        <v>32</v>
      </c>
      <c r="I928" s="378">
        <v>0.2</v>
      </c>
      <c r="J928" s="378"/>
      <c r="K928" s="379">
        <v>16.39</v>
      </c>
      <c r="L928" s="379">
        <v>3.27</v>
      </c>
    </row>
    <row r="929" spans="2:12" ht="38.25" x14ac:dyDescent="0.25">
      <c r="B929" s="423" t="s">
        <v>188</v>
      </c>
      <c r="C929" s="376" t="s">
        <v>173</v>
      </c>
      <c r="D929" s="423" t="s">
        <v>31</v>
      </c>
      <c r="E929" s="423" t="s">
        <v>47</v>
      </c>
      <c r="F929" s="515" t="s">
        <v>189</v>
      </c>
      <c r="G929" s="515"/>
      <c r="H929" s="377" t="s">
        <v>32</v>
      </c>
      <c r="I929" s="378">
        <v>0.2</v>
      </c>
      <c r="J929" s="378"/>
      <c r="K929" s="379">
        <v>11.67</v>
      </c>
      <c r="L929" s="379">
        <v>2.33</v>
      </c>
    </row>
    <row r="930" spans="2:12" ht="15" x14ac:dyDescent="0.25">
      <c r="B930" s="424"/>
      <c r="C930" s="424"/>
      <c r="D930" s="424"/>
      <c r="E930" s="424"/>
      <c r="F930" s="424"/>
      <c r="G930" s="380"/>
      <c r="H930" s="424"/>
      <c r="I930" s="380"/>
      <c r="J930" s="424"/>
      <c r="K930" s="380"/>
      <c r="L930"/>
    </row>
    <row r="931" spans="2:12" ht="15.75" thickBot="1" x14ac:dyDescent="0.3">
      <c r="B931" s="424"/>
      <c r="C931" s="424"/>
      <c r="D931" s="424"/>
      <c r="E931" s="424"/>
      <c r="F931" s="424"/>
      <c r="G931" s="380"/>
      <c r="H931" s="424"/>
      <c r="I931" s="516"/>
      <c r="J931" s="516"/>
      <c r="K931" s="380"/>
      <c r="L931"/>
    </row>
    <row r="932" spans="2:12" ht="13.5" thickTop="1" x14ac:dyDescent="0.25">
      <c r="B932" s="381"/>
      <c r="C932" s="381"/>
      <c r="D932" s="381"/>
      <c r="E932" s="381"/>
      <c r="F932" s="381"/>
      <c r="G932" s="381"/>
      <c r="H932" s="381"/>
      <c r="I932" s="381"/>
      <c r="J932" s="381"/>
      <c r="K932" s="381"/>
      <c r="L932" s="381"/>
    </row>
    <row r="933" spans="2:12" ht="15" x14ac:dyDescent="0.25">
      <c r="B933" s="420" t="s">
        <v>1389</v>
      </c>
      <c r="C933" s="429" t="s">
        <v>0</v>
      </c>
      <c r="D933" s="430" t="s">
        <v>183</v>
      </c>
      <c r="E933" s="430" t="s">
        <v>82</v>
      </c>
      <c r="F933" s="527" t="s">
        <v>1</v>
      </c>
      <c r="G933" s="528"/>
      <c r="H933" s="431" t="s">
        <v>3</v>
      </c>
      <c r="I933" s="429" t="s">
        <v>184</v>
      </c>
      <c r="J933" s="429" t="s">
        <v>1426</v>
      </c>
      <c r="K933" s="429" t="s">
        <v>185</v>
      </c>
      <c r="L933" s="429" t="s">
        <v>4</v>
      </c>
    </row>
    <row r="934" spans="2:12" ht="27.95" customHeight="1" x14ac:dyDescent="0.25">
      <c r="B934" s="432" t="s">
        <v>7</v>
      </c>
      <c r="C934" s="433" t="s">
        <v>747</v>
      </c>
      <c r="D934" s="434" t="s">
        <v>124</v>
      </c>
      <c r="E934" s="434" t="s">
        <v>443</v>
      </c>
      <c r="F934" s="529">
        <v>63</v>
      </c>
      <c r="G934" s="530"/>
      <c r="H934" s="435" t="s">
        <v>22</v>
      </c>
      <c r="I934" s="436">
        <v>1</v>
      </c>
      <c r="J934" s="437"/>
      <c r="K934" s="437">
        <v>5.29</v>
      </c>
      <c r="L934" s="437">
        <v>5.29</v>
      </c>
    </row>
    <row r="935" spans="2:12" ht="38.25" x14ac:dyDescent="0.25">
      <c r="B935" s="438" t="s">
        <v>187</v>
      </c>
      <c r="C935" s="439">
        <v>88264</v>
      </c>
      <c r="D935" s="440" t="s">
        <v>31</v>
      </c>
      <c r="E935" s="440" t="s">
        <v>219</v>
      </c>
      <c r="F935" s="525" t="s">
        <v>186</v>
      </c>
      <c r="G935" s="526"/>
      <c r="H935" s="441" t="s">
        <v>32</v>
      </c>
      <c r="I935" s="442">
        <v>0.1</v>
      </c>
      <c r="J935" s="442"/>
      <c r="K935" s="443">
        <v>22.58</v>
      </c>
      <c r="L935" s="443">
        <v>2.25</v>
      </c>
    </row>
    <row r="936" spans="2:12" ht="38.25" x14ac:dyDescent="0.25">
      <c r="B936" s="438" t="s">
        <v>187</v>
      </c>
      <c r="C936" s="439">
        <v>88247</v>
      </c>
      <c r="D936" s="440" t="s">
        <v>31</v>
      </c>
      <c r="E936" s="440" t="s">
        <v>217</v>
      </c>
      <c r="F936" s="525" t="s">
        <v>186</v>
      </c>
      <c r="G936" s="526"/>
      <c r="H936" s="441" t="s">
        <v>32</v>
      </c>
      <c r="I936" s="442">
        <v>0.1</v>
      </c>
      <c r="J936" s="442"/>
      <c r="K936" s="443">
        <v>18.48</v>
      </c>
      <c r="L936" s="443">
        <v>1.84</v>
      </c>
    </row>
    <row r="937" spans="2:12" ht="14.1" customHeight="1" x14ac:dyDescent="0.25">
      <c r="B937" s="444" t="s">
        <v>188</v>
      </c>
      <c r="C937" s="445">
        <v>9866</v>
      </c>
      <c r="D937" s="446" t="s">
        <v>175</v>
      </c>
      <c r="E937" s="446" t="s">
        <v>807</v>
      </c>
      <c r="F937" s="531" t="s">
        <v>198</v>
      </c>
      <c r="G937" s="532"/>
      <c r="H937" s="447" t="s">
        <v>225</v>
      </c>
      <c r="I937" s="448">
        <v>1</v>
      </c>
      <c r="J937" s="448"/>
      <c r="K937" s="449">
        <v>1.2</v>
      </c>
      <c r="L937" s="449">
        <v>1.2</v>
      </c>
    </row>
    <row r="938" spans="2:12" ht="15" thickBot="1" x14ac:dyDescent="0.25">
      <c r="B938" s="450"/>
      <c r="C938" s="450"/>
      <c r="D938" s="450"/>
      <c r="E938" s="450"/>
      <c r="F938" s="450"/>
      <c r="G938" s="451"/>
      <c r="H938" s="450"/>
      <c r="I938" s="451"/>
      <c r="J938" s="450"/>
      <c r="K938" s="451"/>
      <c r="L938" s="452"/>
    </row>
    <row r="939" spans="2:12" ht="13.5" thickTop="1" x14ac:dyDescent="0.25">
      <c r="B939" s="381"/>
      <c r="C939" s="381"/>
      <c r="D939" s="381"/>
      <c r="E939" s="381"/>
      <c r="F939" s="381"/>
      <c r="G939" s="381"/>
      <c r="H939" s="381"/>
      <c r="I939" s="381"/>
      <c r="J939" s="381"/>
      <c r="K939" s="381"/>
      <c r="L939" s="381"/>
    </row>
    <row r="940" spans="2:12" ht="15" x14ac:dyDescent="0.25">
      <c r="B940" s="420" t="s">
        <v>1017</v>
      </c>
      <c r="C940" s="366" t="s">
        <v>0</v>
      </c>
      <c r="D940" s="420" t="s">
        <v>183</v>
      </c>
      <c r="E940" s="420" t="s">
        <v>82</v>
      </c>
      <c r="F940" s="517" t="s">
        <v>1</v>
      </c>
      <c r="G940" s="517"/>
      <c r="H940" s="367" t="s">
        <v>3</v>
      </c>
      <c r="I940" s="366" t="s">
        <v>184</v>
      </c>
      <c r="J940" s="366" t="s">
        <v>1426</v>
      </c>
      <c r="K940" s="366" t="s">
        <v>185</v>
      </c>
      <c r="L940" s="366" t="s">
        <v>4</v>
      </c>
    </row>
    <row r="941" spans="2:12" ht="25.5" x14ac:dyDescent="0.25">
      <c r="B941" s="421" t="s">
        <v>7</v>
      </c>
      <c r="C941" s="368" t="s">
        <v>755</v>
      </c>
      <c r="D941" s="421" t="s">
        <v>212</v>
      </c>
      <c r="E941" s="421" t="s">
        <v>756</v>
      </c>
      <c r="F941" s="518" t="s">
        <v>1282</v>
      </c>
      <c r="G941" s="518"/>
      <c r="H941" s="369" t="s">
        <v>22</v>
      </c>
      <c r="I941" s="370">
        <v>1</v>
      </c>
      <c r="J941" s="371"/>
      <c r="K941" s="371">
        <v>3035.07</v>
      </c>
      <c r="L941" s="371">
        <v>3035.07</v>
      </c>
    </row>
    <row r="942" spans="2:12" ht="38.25" x14ac:dyDescent="0.25">
      <c r="B942" s="422" t="s">
        <v>187</v>
      </c>
      <c r="C942" s="372" t="s">
        <v>220</v>
      </c>
      <c r="D942" s="422" t="s">
        <v>31</v>
      </c>
      <c r="E942" s="422" t="s">
        <v>221</v>
      </c>
      <c r="F942" s="519" t="s">
        <v>186</v>
      </c>
      <c r="G942" s="519"/>
      <c r="H942" s="373" t="s">
        <v>32</v>
      </c>
      <c r="I942" s="374">
        <v>1.169</v>
      </c>
      <c r="J942" s="374"/>
      <c r="K942" s="375">
        <v>18.12</v>
      </c>
      <c r="L942" s="375">
        <v>21.18</v>
      </c>
    </row>
    <row r="943" spans="2:12" ht="38.25" x14ac:dyDescent="0.25">
      <c r="B943" s="422" t="s">
        <v>187</v>
      </c>
      <c r="C943" s="372" t="s">
        <v>268</v>
      </c>
      <c r="D943" s="422" t="s">
        <v>31</v>
      </c>
      <c r="E943" s="422" t="s">
        <v>269</v>
      </c>
      <c r="F943" s="519" t="s">
        <v>186</v>
      </c>
      <c r="G943" s="519"/>
      <c r="H943" s="373" t="s">
        <v>32</v>
      </c>
      <c r="I943" s="374">
        <v>1.169</v>
      </c>
      <c r="J943" s="374"/>
      <c r="K943" s="375">
        <v>29.08</v>
      </c>
      <c r="L943" s="375">
        <v>33.99</v>
      </c>
    </row>
    <row r="944" spans="2:12" ht="25.5" x14ac:dyDescent="0.25">
      <c r="B944" s="423" t="s">
        <v>188</v>
      </c>
      <c r="C944" s="376" t="s">
        <v>827</v>
      </c>
      <c r="D944" s="423" t="s">
        <v>212</v>
      </c>
      <c r="E944" s="423" t="s">
        <v>828</v>
      </c>
      <c r="F944" s="515" t="s">
        <v>198</v>
      </c>
      <c r="G944" s="515"/>
      <c r="H944" s="377" t="s">
        <v>22</v>
      </c>
      <c r="I944" s="378">
        <v>1</v>
      </c>
      <c r="J944" s="378"/>
      <c r="K944" s="379">
        <v>2979.9</v>
      </c>
      <c r="L944" s="379">
        <v>2979.9</v>
      </c>
    </row>
    <row r="945" spans="2:12" ht="15" x14ac:dyDescent="0.25">
      <c r="B945" s="424"/>
      <c r="C945" s="424"/>
      <c r="D945" s="424"/>
      <c r="E945" s="424"/>
      <c r="F945" s="424"/>
      <c r="G945" s="380"/>
      <c r="H945" s="424"/>
      <c r="I945" s="380"/>
      <c r="J945" s="424"/>
      <c r="K945" s="380"/>
      <c r="L945"/>
    </row>
    <row r="946" spans="2:12" ht="15.75" thickBot="1" x14ac:dyDescent="0.3">
      <c r="B946" s="424"/>
      <c r="C946" s="424"/>
      <c r="D946" s="424"/>
      <c r="E946" s="424"/>
      <c r="F946" s="424"/>
      <c r="G946" s="380"/>
      <c r="H946" s="424"/>
      <c r="I946" s="516"/>
      <c r="J946" s="516"/>
      <c r="K946" s="380"/>
      <c r="L946"/>
    </row>
    <row r="947" spans="2:12" ht="13.5" thickTop="1" x14ac:dyDescent="0.25">
      <c r="B947" s="381"/>
      <c r="C947" s="381"/>
      <c r="D947" s="381"/>
      <c r="E947" s="381"/>
      <c r="F947" s="381"/>
      <c r="G947" s="381"/>
      <c r="H947" s="381"/>
      <c r="I947" s="381"/>
      <c r="J947" s="381"/>
      <c r="K947" s="381"/>
      <c r="L947" s="381"/>
    </row>
    <row r="948" spans="2:12" ht="15" x14ac:dyDescent="0.25">
      <c r="B948" s="420" t="s">
        <v>1018</v>
      </c>
      <c r="C948" s="366" t="s">
        <v>0</v>
      </c>
      <c r="D948" s="420" t="s">
        <v>183</v>
      </c>
      <c r="E948" s="420" t="s">
        <v>82</v>
      </c>
      <c r="F948" s="517" t="s">
        <v>1</v>
      </c>
      <c r="G948" s="517"/>
      <c r="H948" s="367" t="s">
        <v>3</v>
      </c>
      <c r="I948" s="366" t="s">
        <v>184</v>
      </c>
      <c r="J948" s="366" t="s">
        <v>1426</v>
      </c>
      <c r="K948" s="366" t="s">
        <v>185</v>
      </c>
      <c r="L948" s="366" t="s">
        <v>4</v>
      </c>
    </row>
    <row r="949" spans="2:12" ht="25.5" x14ac:dyDescent="0.25">
      <c r="B949" s="421" t="s">
        <v>7</v>
      </c>
      <c r="C949" s="368" t="s">
        <v>758</v>
      </c>
      <c r="D949" s="421" t="s">
        <v>212</v>
      </c>
      <c r="E949" s="421" t="s">
        <v>759</v>
      </c>
      <c r="F949" s="518" t="s">
        <v>1282</v>
      </c>
      <c r="G949" s="518"/>
      <c r="H949" s="369" t="s">
        <v>22</v>
      </c>
      <c r="I949" s="370">
        <v>1</v>
      </c>
      <c r="J949" s="371"/>
      <c r="K949" s="371">
        <v>668.91</v>
      </c>
      <c r="L949" s="371">
        <v>668.91</v>
      </c>
    </row>
    <row r="950" spans="2:12" ht="38.25" x14ac:dyDescent="0.25">
      <c r="B950" s="422" t="s">
        <v>187</v>
      </c>
      <c r="C950" s="372" t="s">
        <v>268</v>
      </c>
      <c r="D950" s="422" t="s">
        <v>31</v>
      </c>
      <c r="E950" s="422" t="s">
        <v>269</v>
      </c>
      <c r="F950" s="519" t="s">
        <v>186</v>
      </c>
      <c r="G950" s="519"/>
      <c r="H950" s="373" t="s">
        <v>32</v>
      </c>
      <c r="I950" s="374">
        <v>2.1</v>
      </c>
      <c r="J950" s="374"/>
      <c r="K950" s="375">
        <v>29.08</v>
      </c>
      <c r="L950" s="375">
        <v>61.06</v>
      </c>
    </row>
    <row r="951" spans="2:12" ht="38.25" x14ac:dyDescent="0.25">
      <c r="B951" s="422" t="s">
        <v>187</v>
      </c>
      <c r="C951" s="372" t="s">
        <v>220</v>
      </c>
      <c r="D951" s="422" t="s">
        <v>31</v>
      </c>
      <c r="E951" s="422" t="s">
        <v>221</v>
      </c>
      <c r="F951" s="519" t="s">
        <v>186</v>
      </c>
      <c r="G951" s="519"/>
      <c r="H951" s="373" t="s">
        <v>32</v>
      </c>
      <c r="I951" s="374">
        <v>2.1</v>
      </c>
      <c r="J951" s="374"/>
      <c r="K951" s="375">
        <v>18.12</v>
      </c>
      <c r="L951" s="375">
        <v>38.049999999999997</v>
      </c>
    </row>
    <row r="952" spans="2:12" x14ac:dyDescent="0.25">
      <c r="B952" s="423" t="s">
        <v>188</v>
      </c>
      <c r="C952" s="376" t="s">
        <v>831</v>
      </c>
      <c r="D952" s="423" t="s">
        <v>212</v>
      </c>
      <c r="E952" s="423" t="s">
        <v>832</v>
      </c>
      <c r="F952" s="515" t="s">
        <v>198</v>
      </c>
      <c r="G952" s="515"/>
      <c r="H952" s="377" t="s">
        <v>22</v>
      </c>
      <c r="I952" s="378">
        <v>1</v>
      </c>
      <c r="J952" s="378"/>
      <c r="K952" s="379">
        <v>569.79999999999995</v>
      </c>
      <c r="L952" s="379">
        <v>569.79999999999995</v>
      </c>
    </row>
    <row r="953" spans="2:12" ht="15" x14ac:dyDescent="0.25">
      <c r="B953" s="424"/>
      <c r="C953" s="424"/>
      <c r="D953" s="424"/>
      <c r="E953" s="424"/>
      <c r="F953" s="424"/>
      <c r="G953" s="380"/>
      <c r="H953" s="424"/>
      <c r="I953" s="380"/>
      <c r="J953" s="424"/>
      <c r="K953" s="380"/>
      <c r="L953"/>
    </row>
    <row r="954" spans="2:12" ht="15.75" thickBot="1" x14ac:dyDescent="0.3">
      <c r="B954" s="424"/>
      <c r="C954" s="424"/>
      <c r="D954" s="424"/>
      <c r="E954" s="424"/>
      <c r="F954" s="424"/>
      <c r="G954" s="380"/>
      <c r="H954" s="424"/>
      <c r="I954" s="516"/>
      <c r="J954" s="516"/>
      <c r="K954" s="380"/>
      <c r="L954"/>
    </row>
    <row r="955" spans="2:12" ht="13.5" thickTop="1" x14ac:dyDescent="0.25">
      <c r="B955" s="381"/>
      <c r="C955" s="381"/>
      <c r="D955" s="381"/>
      <c r="E955" s="381"/>
      <c r="F955" s="381"/>
      <c r="G955" s="381"/>
      <c r="H955" s="381"/>
      <c r="I955" s="381"/>
      <c r="J955" s="381"/>
      <c r="K955" s="381"/>
      <c r="L955" s="381"/>
    </row>
    <row r="956" spans="2:12" ht="15" x14ac:dyDescent="0.25">
      <c r="B956" s="420" t="s">
        <v>1019</v>
      </c>
      <c r="C956" s="366" t="s">
        <v>0</v>
      </c>
      <c r="D956" s="420" t="s">
        <v>183</v>
      </c>
      <c r="E956" s="420" t="s">
        <v>82</v>
      </c>
      <c r="F956" s="517" t="s">
        <v>1</v>
      </c>
      <c r="G956" s="517"/>
      <c r="H956" s="367" t="s">
        <v>3</v>
      </c>
      <c r="I956" s="366" t="s">
        <v>184</v>
      </c>
      <c r="J956" s="366" t="s">
        <v>1426</v>
      </c>
      <c r="K956" s="366" t="s">
        <v>185</v>
      </c>
      <c r="L956" s="366" t="s">
        <v>4</v>
      </c>
    </row>
    <row r="957" spans="2:12" ht="25.5" x14ac:dyDescent="0.25">
      <c r="B957" s="421" t="s">
        <v>7</v>
      </c>
      <c r="C957" s="368" t="s">
        <v>757</v>
      </c>
      <c r="D957" s="421" t="s">
        <v>124</v>
      </c>
      <c r="E957" s="421" t="s">
        <v>550</v>
      </c>
      <c r="F957" s="518" t="s">
        <v>250</v>
      </c>
      <c r="G957" s="518"/>
      <c r="H957" s="369" t="s">
        <v>243</v>
      </c>
      <c r="I957" s="370">
        <v>1</v>
      </c>
      <c r="J957" s="371"/>
      <c r="K957" s="371">
        <v>522.19000000000005</v>
      </c>
      <c r="L957" s="371">
        <v>522.19000000000005</v>
      </c>
    </row>
    <row r="958" spans="2:12" ht="38.25" x14ac:dyDescent="0.25">
      <c r="B958" s="422" t="s">
        <v>187</v>
      </c>
      <c r="C958" s="372" t="s">
        <v>218</v>
      </c>
      <c r="D958" s="422" t="s">
        <v>31</v>
      </c>
      <c r="E958" s="422" t="s">
        <v>219</v>
      </c>
      <c r="F958" s="519" t="s">
        <v>186</v>
      </c>
      <c r="G958" s="519"/>
      <c r="H958" s="373" t="s">
        <v>32</v>
      </c>
      <c r="I958" s="374">
        <v>0.2</v>
      </c>
      <c r="J958" s="374"/>
      <c r="K958" s="375">
        <v>22.58</v>
      </c>
      <c r="L958" s="375">
        <v>4.51</v>
      </c>
    </row>
    <row r="959" spans="2:12" ht="38.25" x14ac:dyDescent="0.25">
      <c r="B959" s="422" t="s">
        <v>187</v>
      </c>
      <c r="C959" s="372" t="s">
        <v>216</v>
      </c>
      <c r="D959" s="422" t="s">
        <v>31</v>
      </c>
      <c r="E959" s="422" t="s">
        <v>217</v>
      </c>
      <c r="F959" s="519" t="s">
        <v>186</v>
      </c>
      <c r="G959" s="519"/>
      <c r="H959" s="373" t="s">
        <v>32</v>
      </c>
      <c r="I959" s="374">
        <v>0.2</v>
      </c>
      <c r="J959" s="374"/>
      <c r="K959" s="375">
        <v>18.48</v>
      </c>
      <c r="L959" s="375">
        <v>3.69</v>
      </c>
    </row>
    <row r="960" spans="2:12" x14ac:dyDescent="0.25">
      <c r="B960" s="423" t="s">
        <v>188</v>
      </c>
      <c r="C960" s="376" t="s">
        <v>829</v>
      </c>
      <c r="D960" s="423" t="s">
        <v>212</v>
      </c>
      <c r="E960" s="423" t="s">
        <v>830</v>
      </c>
      <c r="F960" s="515" t="s">
        <v>198</v>
      </c>
      <c r="G960" s="515"/>
      <c r="H960" s="377" t="s">
        <v>22</v>
      </c>
      <c r="I960" s="378">
        <v>1</v>
      </c>
      <c r="J960" s="378"/>
      <c r="K960" s="379">
        <v>513.99</v>
      </c>
      <c r="L960" s="379">
        <v>513.99</v>
      </c>
    </row>
    <row r="961" spans="2:12" ht="15" x14ac:dyDescent="0.25">
      <c r="B961" s="424"/>
      <c r="C961" s="424"/>
      <c r="D961" s="424"/>
      <c r="E961" s="424"/>
      <c r="F961" s="424"/>
      <c r="G961" s="380"/>
      <c r="H961" s="424"/>
      <c r="I961" s="380"/>
      <c r="J961" s="424"/>
      <c r="K961" s="380"/>
      <c r="L961"/>
    </row>
    <row r="962" spans="2:12" ht="15.75" thickBot="1" x14ac:dyDescent="0.3">
      <c r="B962" s="424"/>
      <c r="C962" s="424"/>
      <c r="D962" s="424"/>
      <c r="E962" s="424"/>
      <c r="F962" s="424"/>
      <c r="G962" s="380"/>
      <c r="H962" s="424"/>
      <c r="I962" s="516"/>
      <c r="J962" s="516"/>
      <c r="K962" s="380"/>
      <c r="L962"/>
    </row>
    <row r="963" spans="2:12" ht="13.5" thickTop="1" x14ac:dyDescent="0.25">
      <c r="B963" s="381"/>
      <c r="C963" s="381"/>
      <c r="D963" s="381"/>
      <c r="E963" s="381"/>
      <c r="F963" s="381"/>
      <c r="G963" s="381"/>
      <c r="H963" s="381"/>
      <c r="I963" s="381"/>
      <c r="J963" s="381"/>
      <c r="K963" s="381"/>
      <c r="L963" s="381"/>
    </row>
    <row r="964" spans="2:12" ht="15" x14ac:dyDescent="0.25">
      <c r="B964" s="420" t="s">
        <v>1020</v>
      </c>
      <c r="C964" s="366" t="s">
        <v>0</v>
      </c>
      <c r="D964" s="420" t="s">
        <v>183</v>
      </c>
      <c r="E964" s="420" t="s">
        <v>82</v>
      </c>
      <c r="F964" s="517" t="s">
        <v>1</v>
      </c>
      <c r="G964" s="517"/>
      <c r="H964" s="367" t="s">
        <v>3</v>
      </c>
      <c r="I964" s="366" t="s">
        <v>184</v>
      </c>
      <c r="J964" s="366" t="s">
        <v>1426</v>
      </c>
      <c r="K964" s="366" t="s">
        <v>185</v>
      </c>
      <c r="L964" s="366" t="s">
        <v>4</v>
      </c>
    </row>
    <row r="965" spans="2:12" ht="25.5" x14ac:dyDescent="0.25">
      <c r="B965" s="421" t="s">
        <v>7</v>
      </c>
      <c r="C965" s="368" t="s">
        <v>760</v>
      </c>
      <c r="D965" s="421" t="s">
        <v>212</v>
      </c>
      <c r="E965" s="421" t="s">
        <v>761</v>
      </c>
      <c r="F965" s="518" t="s">
        <v>1282</v>
      </c>
      <c r="G965" s="518"/>
      <c r="H965" s="369" t="s">
        <v>22</v>
      </c>
      <c r="I965" s="370">
        <v>1</v>
      </c>
      <c r="J965" s="371"/>
      <c r="K965" s="371">
        <v>67.459999999999994</v>
      </c>
      <c r="L965" s="371">
        <v>67.459999999999994</v>
      </c>
    </row>
    <row r="966" spans="2:12" ht="38.25" x14ac:dyDescent="0.25">
      <c r="B966" s="422" t="s">
        <v>187</v>
      </c>
      <c r="C966" s="372" t="s">
        <v>216</v>
      </c>
      <c r="D966" s="422" t="s">
        <v>31</v>
      </c>
      <c r="E966" s="422" t="s">
        <v>217</v>
      </c>
      <c r="F966" s="519" t="s">
        <v>186</v>
      </c>
      <c r="G966" s="519"/>
      <c r="H966" s="373" t="s">
        <v>32</v>
      </c>
      <c r="I966" s="374">
        <v>0.2</v>
      </c>
      <c r="J966" s="374"/>
      <c r="K966" s="375">
        <v>18.48</v>
      </c>
      <c r="L966" s="375">
        <v>3.69</v>
      </c>
    </row>
    <row r="967" spans="2:12" x14ac:dyDescent="0.25">
      <c r="B967" s="423" t="s">
        <v>188</v>
      </c>
      <c r="C967" s="376" t="s">
        <v>833</v>
      </c>
      <c r="D967" s="423" t="s">
        <v>212</v>
      </c>
      <c r="E967" s="423" t="s">
        <v>834</v>
      </c>
      <c r="F967" s="515" t="s">
        <v>198</v>
      </c>
      <c r="G967" s="515"/>
      <c r="H967" s="377" t="s">
        <v>22</v>
      </c>
      <c r="I967" s="378">
        <v>1</v>
      </c>
      <c r="J967" s="378"/>
      <c r="K967" s="379">
        <v>63.77</v>
      </c>
      <c r="L967" s="379">
        <v>63.77</v>
      </c>
    </row>
    <row r="968" spans="2:12" ht="15" x14ac:dyDescent="0.25">
      <c r="B968" s="424"/>
      <c r="C968" s="424"/>
      <c r="D968" s="424"/>
      <c r="E968" s="424"/>
      <c r="F968" s="424"/>
      <c r="G968" s="380"/>
      <c r="H968" s="424"/>
      <c r="I968" s="380"/>
      <c r="J968" s="424"/>
      <c r="K968" s="380"/>
      <c r="L968"/>
    </row>
    <row r="969" spans="2:12" ht="15.75" thickBot="1" x14ac:dyDescent="0.3">
      <c r="B969" s="424"/>
      <c r="C969" s="424"/>
      <c r="D969" s="424"/>
      <c r="E969" s="424"/>
      <c r="F969" s="424"/>
      <c r="G969" s="380"/>
      <c r="H969" s="424"/>
      <c r="I969" s="516"/>
      <c r="J969" s="516"/>
      <c r="K969" s="380"/>
      <c r="L969"/>
    </row>
    <row r="970" spans="2:12" ht="13.5" thickTop="1" x14ac:dyDescent="0.25">
      <c r="B970" s="381"/>
      <c r="C970" s="381"/>
      <c r="D970" s="381"/>
      <c r="E970" s="381"/>
      <c r="F970" s="381"/>
      <c r="G970" s="381"/>
      <c r="H970" s="381"/>
      <c r="I970" s="381"/>
      <c r="J970" s="381"/>
      <c r="K970" s="381"/>
      <c r="L970" s="381"/>
    </row>
    <row r="971" spans="2:12" ht="15" x14ac:dyDescent="0.25">
      <c r="B971" s="420" t="s">
        <v>1524</v>
      </c>
      <c r="C971" s="366" t="s">
        <v>0</v>
      </c>
      <c r="D971" s="420" t="s">
        <v>183</v>
      </c>
      <c r="E971" s="420" t="s">
        <v>82</v>
      </c>
      <c r="F971" s="517" t="s">
        <v>1</v>
      </c>
      <c r="G971" s="517"/>
      <c r="H971" s="367" t="s">
        <v>3</v>
      </c>
      <c r="I971" s="366" t="s">
        <v>184</v>
      </c>
      <c r="J971" s="366" t="s">
        <v>1426</v>
      </c>
      <c r="K971" s="366" t="s">
        <v>185</v>
      </c>
      <c r="L971" s="366" t="s">
        <v>4</v>
      </c>
    </row>
    <row r="972" spans="2:12" ht="25.5" x14ac:dyDescent="0.25">
      <c r="B972" s="421" t="s">
        <v>7</v>
      </c>
      <c r="C972" s="368" t="s">
        <v>762</v>
      </c>
      <c r="D972" s="421" t="s">
        <v>31</v>
      </c>
      <c r="E972" s="421" t="s">
        <v>763</v>
      </c>
      <c r="F972" s="518" t="s">
        <v>250</v>
      </c>
      <c r="G972" s="518"/>
      <c r="H972" s="369" t="s">
        <v>22</v>
      </c>
      <c r="I972" s="370">
        <v>1</v>
      </c>
      <c r="J972" s="371"/>
      <c r="K972" s="371">
        <v>900.27</v>
      </c>
      <c r="L972" s="371">
        <v>900.27</v>
      </c>
    </row>
    <row r="973" spans="2:12" ht="38.25" x14ac:dyDescent="0.25">
      <c r="B973" s="422" t="s">
        <v>187</v>
      </c>
      <c r="C973" s="372" t="s">
        <v>216</v>
      </c>
      <c r="D973" s="422" t="s">
        <v>31</v>
      </c>
      <c r="E973" s="422" t="s">
        <v>217</v>
      </c>
      <c r="F973" s="519" t="s">
        <v>186</v>
      </c>
      <c r="G973" s="519"/>
      <c r="H973" s="373" t="s">
        <v>32</v>
      </c>
      <c r="I973" s="374">
        <v>6.2007000000000003</v>
      </c>
      <c r="J973" s="374"/>
      <c r="K973" s="375">
        <v>18.48</v>
      </c>
      <c r="L973" s="375">
        <v>114.58</v>
      </c>
    </row>
    <row r="974" spans="2:12" ht="38.25" x14ac:dyDescent="0.25">
      <c r="B974" s="422" t="s">
        <v>187</v>
      </c>
      <c r="C974" s="372" t="s">
        <v>218</v>
      </c>
      <c r="D974" s="422" t="s">
        <v>31</v>
      </c>
      <c r="E974" s="422" t="s">
        <v>219</v>
      </c>
      <c r="F974" s="519" t="s">
        <v>186</v>
      </c>
      <c r="G974" s="519"/>
      <c r="H974" s="373" t="s">
        <v>32</v>
      </c>
      <c r="I974" s="374">
        <v>6.2007000000000003</v>
      </c>
      <c r="J974" s="374"/>
      <c r="K974" s="375">
        <v>22.58</v>
      </c>
      <c r="L974" s="375">
        <v>140.01</v>
      </c>
    </row>
    <row r="975" spans="2:12" ht="38.25" x14ac:dyDescent="0.25">
      <c r="B975" s="423" t="s">
        <v>188</v>
      </c>
      <c r="C975" s="376" t="s">
        <v>835</v>
      </c>
      <c r="D975" s="423" t="s">
        <v>31</v>
      </c>
      <c r="E975" s="423" t="s">
        <v>836</v>
      </c>
      <c r="F975" s="515" t="s">
        <v>198</v>
      </c>
      <c r="G975" s="515"/>
      <c r="H975" s="377" t="s">
        <v>22</v>
      </c>
      <c r="I975" s="378">
        <v>1</v>
      </c>
      <c r="J975" s="378"/>
      <c r="K975" s="379">
        <v>645.67999999999995</v>
      </c>
      <c r="L975" s="379">
        <v>645.67999999999995</v>
      </c>
    </row>
    <row r="976" spans="2:12" ht="15" x14ac:dyDescent="0.25">
      <c r="B976" s="424"/>
      <c r="C976" s="424"/>
      <c r="D976" s="424"/>
      <c r="E976" s="424"/>
      <c r="F976" s="424"/>
      <c r="G976" s="380"/>
      <c r="H976" s="424"/>
      <c r="I976" s="380"/>
      <c r="J976" s="424"/>
      <c r="K976" s="380"/>
      <c r="L976"/>
    </row>
    <row r="977" spans="2:12" ht="15.75" thickBot="1" x14ac:dyDescent="0.3">
      <c r="B977" s="424"/>
      <c r="C977" s="424"/>
      <c r="D977" s="424"/>
      <c r="E977" s="424"/>
      <c r="F977" s="424"/>
      <c r="G977" s="380"/>
      <c r="H977" s="424"/>
      <c r="I977" s="516"/>
      <c r="J977" s="516"/>
      <c r="K977" s="380"/>
      <c r="L977"/>
    </row>
    <row r="978" spans="2:12" ht="13.5" thickTop="1" x14ac:dyDescent="0.25">
      <c r="B978" s="381"/>
      <c r="C978" s="381"/>
      <c r="D978" s="381"/>
      <c r="E978" s="381"/>
      <c r="F978" s="381"/>
      <c r="G978" s="381"/>
      <c r="H978" s="381"/>
      <c r="I978" s="381"/>
      <c r="J978" s="381"/>
      <c r="K978" s="381"/>
      <c r="L978" s="381"/>
    </row>
    <row r="979" spans="2:12" ht="15" x14ac:dyDescent="0.25">
      <c r="B979" s="420" t="s">
        <v>1525</v>
      </c>
      <c r="C979" s="366" t="s">
        <v>0</v>
      </c>
      <c r="D979" s="420" t="s">
        <v>183</v>
      </c>
      <c r="E979" s="420" t="s">
        <v>82</v>
      </c>
      <c r="F979" s="517" t="s">
        <v>1</v>
      </c>
      <c r="G979" s="517"/>
      <c r="H979" s="367" t="s">
        <v>3</v>
      </c>
      <c r="I979" s="366" t="s">
        <v>184</v>
      </c>
      <c r="J979" s="366" t="s">
        <v>1426</v>
      </c>
      <c r="K979" s="366" t="s">
        <v>185</v>
      </c>
      <c r="L979" s="366" t="s">
        <v>4</v>
      </c>
    </row>
    <row r="980" spans="2:12" ht="25.5" x14ac:dyDescent="0.25">
      <c r="B980" s="421" t="s">
        <v>7</v>
      </c>
      <c r="C980" s="368" t="s">
        <v>764</v>
      </c>
      <c r="D980" s="421" t="s">
        <v>212</v>
      </c>
      <c r="E980" s="421" t="s">
        <v>765</v>
      </c>
      <c r="F980" s="518" t="s">
        <v>1282</v>
      </c>
      <c r="G980" s="518"/>
      <c r="H980" s="369" t="s">
        <v>22</v>
      </c>
      <c r="I980" s="370">
        <v>1</v>
      </c>
      <c r="J980" s="371"/>
      <c r="K980" s="371">
        <v>99.19</v>
      </c>
      <c r="L980" s="371">
        <v>99.19</v>
      </c>
    </row>
    <row r="981" spans="2:12" ht="38.25" x14ac:dyDescent="0.25">
      <c r="B981" s="422" t="s">
        <v>187</v>
      </c>
      <c r="C981" s="372" t="s">
        <v>216</v>
      </c>
      <c r="D981" s="422" t="s">
        <v>31</v>
      </c>
      <c r="E981" s="422" t="s">
        <v>217</v>
      </c>
      <c r="F981" s="519" t="s">
        <v>186</v>
      </c>
      <c r="G981" s="519"/>
      <c r="H981" s="373" t="s">
        <v>32</v>
      </c>
      <c r="I981" s="374">
        <v>0.2</v>
      </c>
      <c r="J981" s="374"/>
      <c r="K981" s="375">
        <v>18.48</v>
      </c>
      <c r="L981" s="375">
        <v>3.69</v>
      </c>
    </row>
    <row r="982" spans="2:12" x14ac:dyDescent="0.25">
      <c r="B982" s="423" t="s">
        <v>188</v>
      </c>
      <c r="C982" s="376" t="s">
        <v>837</v>
      </c>
      <c r="D982" s="423" t="s">
        <v>212</v>
      </c>
      <c r="E982" s="423" t="s">
        <v>838</v>
      </c>
      <c r="F982" s="515" t="s">
        <v>198</v>
      </c>
      <c r="G982" s="515"/>
      <c r="H982" s="377" t="s">
        <v>22</v>
      </c>
      <c r="I982" s="378">
        <v>1</v>
      </c>
      <c r="J982" s="378"/>
      <c r="K982" s="379">
        <v>95.5</v>
      </c>
      <c r="L982" s="379">
        <v>95.5</v>
      </c>
    </row>
    <row r="983" spans="2:12" ht="15" x14ac:dyDescent="0.25">
      <c r="B983" s="424"/>
      <c r="C983" s="424"/>
      <c r="D983" s="424"/>
      <c r="E983" s="424"/>
      <c r="F983" s="424"/>
      <c r="G983" s="380"/>
      <c r="H983" s="424"/>
      <c r="I983" s="380"/>
      <c r="J983" s="424"/>
      <c r="K983" s="380"/>
      <c r="L983"/>
    </row>
    <row r="984" spans="2:12" ht="15.75" thickBot="1" x14ac:dyDescent="0.3">
      <c r="B984" s="424"/>
      <c r="C984" s="424"/>
      <c r="D984" s="424"/>
      <c r="E984" s="424"/>
      <c r="F984" s="424"/>
      <c r="G984" s="380"/>
      <c r="H984" s="424"/>
      <c r="I984" s="516"/>
      <c r="J984" s="516"/>
      <c r="K984" s="380"/>
      <c r="L984"/>
    </row>
    <row r="985" spans="2:12" ht="13.5" thickTop="1" x14ac:dyDescent="0.25">
      <c r="B985" s="381"/>
      <c r="C985" s="381"/>
      <c r="D985" s="381"/>
      <c r="E985" s="381"/>
      <c r="F985" s="381"/>
      <c r="G985" s="381"/>
      <c r="H985" s="381"/>
      <c r="I985" s="381"/>
      <c r="J985" s="381"/>
      <c r="K985" s="381"/>
      <c r="L985" s="381"/>
    </row>
    <row r="986" spans="2:12" ht="15" x14ac:dyDescent="0.25">
      <c r="B986" s="420" t="s">
        <v>1526</v>
      </c>
      <c r="C986" s="366" t="s">
        <v>0</v>
      </c>
      <c r="D986" s="420" t="s">
        <v>183</v>
      </c>
      <c r="E986" s="420" t="s">
        <v>82</v>
      </c>
      <c r="F986" s="517" t="s">
        <v>1</v>
      </c>
      <c r="G986" s="517"/>
      <c r="H986" s="367" t="s">
        <v>3</v>
      </c>
      <c r="I986" s="366" t="s">
        <v>184</v>
      </c>
      <c r="J986" s="366" t="s">
        <v>1426</v>
      </c>
      <c r="K986" s="366" t="s">
        <v>185</v>
      </c>
      <c r="L986" s="366" t="s">
        <v>4</v>
      </c>
    </row>
    <row r="987" spans="2:12" ht="25.5" x14ac:dyDescent="0.25">
      <c r="B987" s="421" t="s">
        <v>7</v>
      </c>
      <c r="C987" s="368" t="s">
        <v>1021</v>
      </c>
      <c r="D987" s="421" t="s">
        <v>212</v>
      </c>
      <c r="E987" s="421" t="s">
        <v>1022</v>
      </c>
      <c r="F987" s="518" t="s">
        <v>1282</v>
      </c>
      <c r="G987" s="518"/>
      <c r="H987" s="369" t="s">
        <v>22</v>
      </c>
      <c r="I987" s="370">
        <v>1</v>
      </c>
      <c r="J987" s="371"/>
      <c r="K987" s="371">
        <v>1134.55</v>
      </c>
      <c r="L987" s="371">
        <v>1134.55</v>
      </c>
    </row>
    <row r="988" spans="2:12" ht="38.25" x14ac:dyDescent="0.25">
      <c r="B988" s="422" t="s">
        <v>187</v>
      </c>
      <c r="C988" s="372" t="s">
        <v>218</v>
      </c>
      <c r="D988" s="422" t="s">
        <v>31</v>
      </c>
      <c r="E988" s="422" t="s">
        <v>219</v>
      </c>
      <c r="F988" s="519" t="s">
        <v>186</v>
      </c>
      <c r="G988" s="519"/>
      <c r="H988" s="373" t="s">
        <v>32</v>
      </c>
      <c r="I988" s="374">
        <v>2.0619999999999998</v>
      </c>
      <c r="J988" s="374"/>
      <c r="K988" s="375">
        <v>22.58</v>
      </c>
      <c r="L988" s="375">
        <v>46.55</v>
      </c>
    </row>
    <row r="989" spans="2:12" ht="38.25" x14ac:dyDescent="0.25">
      <c r="B989" s="422" t="s">
        <v>187</v>
      </c>
      <c r="C989" s="372" t="s">
        <v>216</v>
      </c>
      <c r="D989" s="422" t="s">
        <v>31</v>
      </c>
      <c r="E989" s="422" t="s">
        <v>217</v>
      </c>
      <c r="F989" s="519" t="s">
        <v>186</v>
      </c>
      <c r="G989" s="519"/>
      <c r="H989" s="373" t="s">
        <v>32</v>
      </c>
      <c r="I989" s="374">
        <v>2.0619999999999998</v>
      </c>
      <c r="J989" s="374"/>
      <c r="K989" s="375">
        <v>18.48</v>
      </c>
      <c r="L989" s="375">
        <v>38.1</v>
      </c>
    </row>
    <row r="990" spans="2:12" x14ac:dyDescent="0.25">
      <c r="B990" s="423" t="s">
        <v>188</v>
      </c>
      <c r="C990" s="376" t="s">
        <v>1338</v>
      </c>
      <c r="D990" s="423" t="s">
        <v>212</v>
      </c>
      <c r="E990" s="423" t="s">
        <v>1339</v>
      </c>
      <c r="F990" s="515" t="s">
        <v>198</v>
      </c>
      <c r="G990" s="515"/>
      <c r="H990" s="377" t="s">
        <v>22</v>
      </c>
      <c r="I990" s="378">
        <v>1</v>
      </c>
      <c r="J990" s="378"/>
      <c r="K990" s="379">
        <v>1049.9000000000001</v>
      </c>
      <c r="L990" s="379">
        <v>1049.9000000000001</v>
      </c>
    </row>
    <row r="991" spans="2:12" ht="15" x14ac:dyDescent="0.25">
      <c r="B991" s="424"/>
      <c r="C991" s="424"/>
      <c r="D991" s="424"/>
      <c r="E991" s="424"/>
      <c r="F991" s="424"/>
      <c r="G991" s="380"/>
      <c r="H991" s="424"/>
      <c r="I991" s="380"/>
      <c r="J991" s="424"/>
      <c r="K991" s="380"/>
      <c r="L991"/>
    </row>
    <row r="992" spans="2:12" ht="15.75" thickBot="1" x14ac:dyDescent="0.3">
      <c r="B992" s="424"/>
      <c r="C992" s="424"/>
      <c r="D992" s="424"/>
      <c r="E992" s="424"/>
      <c r="F992" s="424"/>
      <c r="G992" s="380"/>
      <c r="H992" s="424"/>
      <c r="I992" s="516"/>
      <c r="J992" s="516"/>
      <c r="K992" s="380"/>
      <c r="L992"/>
    </row>
    <row r="993" spans="2:12" ht="13.5" thickTop="1" x14ac:dyDescent="0.25">
      <c r="B993" s="381"/>
      <c r="C993" s="381"/>
      <c r="D993" s="381"/>
      <c r="E993" s="381"/>
      <c r="F993" s="381"/>
      <c r="G993" s="381"/>
      <c r="H993" s="381"/>
      <c r="I993" s="381"/>
      <c r="J993" s="381"/>
      <c r="K993" s="381"/>
      <c r="L993" s="381"/>
    </row>
    <row r="994" spans="2:12" ht="15" x14ac:dyDescent="0.25">
      <c r="B994" s="420" t="s">
        <v>1527</v>
      </c>
      <c r="C994" s="366" t="s">
        <v>0</v>
      </c>
      <c r="D994" s="420" t="s">
        <v>183</v>
      </c>
      <c r="E994" s="420" t="s">
        <v>82</v>
      </c>
      <c r="F994" s="517" t="s">
        <v>1</v>
      </c>
      <c r="G994" s="517"/>
      <c r="H994" s="367" t="s">
        <v>3</v>
      </c>
      <c r="I994" s="366" t="s">
        <v>184</v>
      </c>
      <c r="J994" s="366" t="s">
        <v>1426</v>
      </c>
      <c r="K994" s="366" t="s">
        <v>185</v>
      </c>
      <c r="L994" s="366" t="s">
        <v>4</v>
      </c>
    </row>
    <row r="995" spans="2:12" ht="25.5" x14ac:dyDescent="0.25">
      <c r="B995" s="421" t="s">
        <v>7</v>
      </c>
      <c r="C995" s="368" t="s">
        <v>1023</v>
      </c>
      <c r="D995" s="421" t="s">
        <v>124</v>
      </c>
      <c r="E995" s="421" t="s">
        <v>1024</v>
      </c>
      <c r="F995" s="518" t="s">
        <v>215</v>
      </c>
      <c r="G995" s="518"/>
      <c r="H995" s="369" t="s">
        <v>22</v>
      </c>
      <c r="I995" s="370">
        <v>1</v>
      </c>
      <c r="J995" s="371"/>
      <c r="K995" s="371">
        <v>114.33</v>
      </c>
      <c r="L995" s="371">
        <v>114.33</v>
      </c>
    </row>
    <row r="996" spans="2:12" ht="38.25" x14ac:dyDescent="0.25">
      <c r="B996" s="422" t="s">
        <v>187</v>
      </c>
      <c r="C996" s="372" t="s">
        <v>218</v>
      </c>
      <c r="D996" s="422" t="s">
        <v>31</v>
      </c>
      <c r="E996" s="422" t="s">
        <v>219</v>
      </c>
      <c r="F996" s="519" t="s">
        <v>186</v>
      </c>
      <c r="G996" s="519"/>
      <c r="H996" s="373" t="s">
        <v>32</v>
      </c>
      <c r="I996" s="374">
        <v>0.1</v>
      </c>
      <c r="J996" s="374"/>
      <c r="K996" s="375">
        <v>22.58</v>
      </c>
      <c r="L996" s="375">
        <v>2.25</v>
      </c>
    </row>
    <row r="997" spans="2:12" ht="38.25" x14ac:dyDescent="0.25">
      <c r="B997" s="422" t="s">
        <v>187</v>
      </c>
      <c r="C997" s="372" t="s">
        <v>216</v>
      </c>
      <c r="D997" s="422" t="s">
        <v>31</v>
      </c>
      <c r="E997" s="422" t="s">
        <v>217</v>
      </c>
      <c r="F997" s="519" t="s">
        <v>186</v>
      </c>
      <c r="G997" s="519"/>
      <c r="H997" s="373" t="s">
        <v>32</v>
      </c>
      <c r="I997" s="374">
        <v>0.1</v>
      </c>
      <c r="J997" s="374"/>
      <c r="K997" s="375">
        <v>18.48</v>
      </c>
      <c r="L997" s="375">
        <v>1.84</v>
      </c>
    </row>
    <row r="998" spans="2:12" x14ac:dyDescent="0.25">
      <c r="B998" s="423" t="s">
        <v>188</v>
      </c>
      <c r="C998" s="376" t="s">
        <v>1187</v>
      </c>
      <c r="D998" s="423" t="s">
        <v>124</v>
      </c>
      <c r="E998" s="423" t="s">
        <v>1188</v>
      </c>
      <c r="F998" s="515" t="s">
        <v>198</v>
      </c>
      <c r="G998" s="515"/>
      <c r="H998" s="377" t="s">
        <v>22</v>
      </c>
      <c r="I998" s="378">
        <v>1</v>
      </c>
      <c r="J998" s="378"/>
      <c r="K998" s="379">
        <v>110.24</v>
      </c>
      <c r="L998" s="379">
        <v>110.24</v>
      </c>
    </row>
    <row r="999" spans="2:12" ht="15" x14ac:dyDescent="0.25">
      <c r="B999" s="424"/>
      <c r="C999" s="424"/>
      <c r="D999" s="424"/>
      <c r="E999" s="424"/>
      <c r="F999" s="424"/>
      <c r="G999" s="380"/>
      <c r="H999" s="424"/>
      <c r="I999" s="380"/>
      <c r="J999" s="424"/>
      <c r="K999" s="380"/>
      <c r="L999"/>
    </row>
    <row r="1000" spans="2:12" ht="15.75" thickBot="1" x14ac:dyDescent="0.3">
      <c r="B1000" s="424"/>
      <c r="C1000" s="424"/>
      <c r="D1000" s="424"/>
      <c r="E1000" s="424"/>
      <c r="F1000" s="424"/>
      <c r="G1000" s="380"/>
      <c r="H1000" s="424"/>
      <c r="I1000" s="516"/>
      <c r="J1000" s="516"/>
      <c r="K1000" s="380"/>
      <c r="L1000"/>
    </row>
    <row r="1001" spans="2:12" ht="13.5" thickTop="1" x14ac:dyDescent="0.25">
      <c r="B1001" s="381"/>
      <c r="C1001" s="381"/>
      <c r="D1001" s="381"/>
      <c r="E1001" s="381"/>
      <c r="F1001" s="381"/>
      <c r="G1001" s="381"/>
      <c r="H1001" s="381"/>
      <c r="I1001" s="381"/>
      <c r="J1001" s="381"/>
      <c r="K1001" s="381"/>
      <c r="L1001" s="381"/>
    </row>
    <row r="1002" spans="2:12" ht="15" x14ac:dyDescent="0.25">
      <c r="B1002" s="420" t="s">
        <v>1528</v>
      </c>
      <c r="C1002" s="366" t="s">
        <v>0</v>
      </c>
      <c r="D1002" s="420" t="s">
        <v>183</v>
      </c>
      <c r="E1002" s="420" t="s">
        <v>82</v>
      </c>
      <c r="F1002" s="517" t="s">
        <v>1</v>
      </c>
      <c r="G1002" s="517"/>
      <c r="H1002" s="367" t="s">
        <v>3</v>
      </c>
      <c r="I1002" s="366" t="s">
        <v>184</v>
      </c>
      <c r="J1002" s="366" t="s">
        <v>1426</v>
      </c>
      <c r="K1002" s="366" t="s">
        <v>185</v>
      </c>
      <c r="L1002" s="366" t="s">
        <v>4</v>
      </c>
    </row>
    <row r="1003" spans="2:12" ht="25.5" x14ac:dyDescent="0.25">
      <c r="B1003" s="421" t="s">
        <v>7</v>
      </c>
      <c r="C1003" s="368" t="s">
        <v>1025</v>
      </c>
      <c r="D1003" s="421" t="s">
        <v>874</v>
      </c>
      <c r="E1003" s="421" t="s">
        <v>1026</v>
      </c>
      <c r="F1003" s="518">
        <v>7</v>
      </c>
      <c r="G1003" s="518"/>
      <c r="H1003" s="369" t="s">
        <v>824</v>
      </c>
      <c r="I1003" s="370">
        <v>1</v>
      </c>
      <c r="J1003" s="371"/>
      <c r="K1003" s="371">
        <v>26.12</v>
      </c>
      <c r="L1003" s="371">
        <v>26.12</v>
      </c>
    </row>
    <row r="1004" spans="2:12" ht="25.5" x14ac:dyDescent="0.25">
      <c r="B1004" s="423" t="s">
        <v>188</v>
      </c>
      <c r="C1004" s="376" t="s">
        <v>1189</v>
      </c>
      <c r="D1004" s="423" t="s">
        <v>874</v>
      </c>
      <c r="E1004" s="423" t="s">
        <v>1190</v>
      </c>
      <c r="F1004" s="515" t="s">
        <v>198</v>
      </c>
      <c r="G1004" s="515"/>
      <c r="H1004" s="377" t="s">
        <v>225</v>
      </c>
      <c r="I1004" s="378">
        <v>1</v>
      </c>
      <c r="J1004" s="378"/>
      <c r="K1004" s="379">
        <v>22.12</v>
      </c>
      <c r="L1004" s="379">
        <v>22.12</v>
      </c>
    </row>
    <row r="1005" spans="2:12" ht="25.5" x14ac:dyDescent="0.25">
      <c r="B1005" s="423" t="s">
        <v>188</v>
      </c>
      <c r="C1005" s="376" t="s">
        <v>1101</v>
      </c>
      <c r="D1005" s="423" t="s">
        <v>874</v>
      </c>
      <c r="E1005" s="423" t="s">
        <v>1102</v>
      </c>
      <c r="F1005" s="515" t="s">
        <v>189</v>
      </c>
      <c r="G1005" s="515"/>
      <c r="H1005" s="377" t="s">
        <v>1099</v>
      </c>
      <c r="I1005" s="378">
        <v>0.13</v>
      </c>
      <c r="J1005" s="378"/>
      <c r="K1005" s="379">
        <v>12.31</v>
      </c>
      <c r="L1005" s="379">
        <v>1.6</v>
      </c>
    </row>
    <row r="1006" spans="2:12" ht="25.5" x14ac:dyDescent="0.25">
      <c r="B1006" s="423" t="s">
        <v>188</v>
      </c>
      <c r="C1006" s="376" t="s">
        <v>1103</v>
      </c>
      <c r="D1006" s="423" t="s">
        <v>874</v>
      </c>
      <c r="E1006" s="423" t="s">
        <v>223</v>
      </c>
      <c r="F1006" s="515" t="s">
        <v>189</v>
      </c>
      <c r="G1006" s="515"/>
      <c r="H1006" s="377" t="s">
        <v>1099</v>
      </c>
      <c r="I1006" s="378">
        <v>0.13</v>
      </c>
      <c r="J1006" s="378"/>
      <c r="K1006" s="379">
        <v>18.510000000000002</v>
      </c>
      <c r="L1006" s="379">
        <v>2.4</v>
      </c>
    </row>
    <row r="1007" spans="2:12" ht="15" x14ac:dyDescent="0.25">
      <c r="B1007" s="424"/>
      <c r="C1007" s="424"/>
      <c r="D1007" s="424"/>
      <c r="E1007" s="424"/>
      <c r="F1007" s="424"/>
      <c r="G1007" s="380"/>
      <c r="H1007" s="424"/>
      <c r="I1007" s="380"/>
      <c r="J1007" s="424"/>
      <c r="K1007" s="380"/>
      <c r="L1007"/>
    </row>
    <row r="1008" spans="2:12" ht="15.75" thickBot="1" x14ac:dyDescent="0.3">
      <c r="B1008" s="424"/>
      <c r="C1008" s="424"/>
      <c r="D1008" s="424"/>
      <c r="E1008" s="424"/>
      <c r="F1008" s="424"/>
      <c r="G1008" s="380"/>
      <c r="H1008" s="424"/>
      <c r="I1008" s="516"/>
      <c r="J1008" s="516"/>
      <c r="K1008" s="380"/>
      <c r="L1008"/>
    </row>
    <row r="1009" spans="2:12" ht="13.5" thickTop="1" x14ac:dyDescent="0.25">
      <c r="B1009" s="381"/>
      <c r="C1009" s="381"/>
      <c r="D1009" s="381"/>
      <c r="E1009" s="381"/>
      <c r="F1009" s="381"/>
      <c r="G1009" s="381"/>
      <c r="H1009" s="381"/>
      <c r="I1009" s="381"/>
      <c r="J1009" s="381"/>
      <c r="K1009" s="381"/>
      <c r="L1009" s="381"/>
    </row>
    <row r="1010" spans="2:12" ht="15" x14ac:dyDescent="0.25">
      <c r="B1010" s="420" t="s">
        <v>1529</v>
      </c>
      <c r="C1010" s="366" t="s">
        <v>0</v>
      </c>
      <c r="D1010" s="420" t="s">
        <v>183</v>
      </c>
      <c r="E1010" s="420" t="s">
        <v>82</v>
      </c>
      <c r="F1010" s="517" t="s">
        <v>1</v>
      </c>
      <c r="G1010" s="517"/>
      <c r="H1010" s="367" t="s">
        <v>3</v>
      </c>
      <c r="I1010" s="366" t="s">
        <v>184</v>
      </c>
      <c r="J1010" s="366" t="s">
        <v>1426</v>
      </c>
      <c r="K1010" s="366" t="s">
        <v>185</v>
      </c>
      <c r="L1010" s="366" t="s">
        <v>4</v>
      </c>
    </row>
    <row r="1011" spans="2:12" ht="38.25" x14ac:dyDescent="0.25">
      <c r="B1011" s="421" t="s">
        <v>7</v>
      </c>
      <c r="C1011" s="368" t="s">
        <v>1027</v>
      </c>
      <c r="D1011" s="421" t="s">
        <v>264</v>
      </c>
      <c r="E1011" s="421" t="s">
        <v>1028</v>
      </c>
      <c r="F1011" s="518">
        <v>69.03</v>
      </c>
      <c r="G1011" s="518"/>
      <c r="H1011" s="369" t="s">
        <v>22</v>
      </c>
      <c r="I1011" s="370">
        <v>1</v>
      </c>
      <c r="J1011" s="371"/>
      <c r="K1011" s="371">
        <v>43.18</v>
      </c>
      <c r="L1011" s="371">
        <v>43.18</v>
      </c>
    </row>
    <row r="1012" spans="2:12" ht="38.25" x14ac:dyDescent="0.25">
      <c r="B1012" s="423" t="s">
        <v>188</v>
      </c>
      <c r="C1012" s="376" t="s">
        <v>1115</v>
      </c>
      <c r="D1012" s="423" t="s">
        <v>264</v>
      </c>
      <c r="E1012" s="423" t="s">
        <v>1116</v>
      </c>
      <c r="F1012" s="515" t="s">
        <v>189</v>
      </c>
      <c r="G1012" s="515"/>
      <c r="H1012" s="377" t="s">
        <v>32</v>
      </c>
      <c r="I1012" s="378">
        <v>0.15</v>
      </c>
      <c r="J1012" s="378"/>
      <c r="K1012" s="379">
        <v>25.22</v>
      </c>
      <c r="L1012" s="379">
        <v>3.78</v>
      </c>
    </row>
    <row r="1013" spans="2:12" ht="38.25" x14ac:dyDescent="0.25">
      <c r="B1013" s="423" t="s">
        <v>188</v>
      </c>
      <c r="C1013" s="376" t="s">
        <v>1117</v>
      </c>
      <c r="D1013" s="423" t="s">
        <v>264</v>
      </c>
      <c r="E1013" s="423" t="s">
        <v>1118</v>
      </c>
      <c r="F1013" s="515" t="s">
        <v>189</v>
      </c>
      <c r="G1013" s="515"/>
      <c r="H1013" s="377" t="s">
        <v>32</v>
      </c>
      <c r="I1013" s="378">
        <v>0.15</v>
      </c>
      <c r="J1013" s="378"/>
      <c r="K1013" s="379">
        <v>16.739999999999998</v>
      </c>
      <c r="L1013" s="379">
        <v>2.5099999999999998</v>
      </c>
    </row>
    <row r="1014" spans="2:12" ht="38.25" x14ac:dyDescent="0.25">
      <c r="B1014" s="423" t="s">
        <v>188</v>
      </c>
      <c r="C1014" s="376" t="s">
        <v>1191</v>
      </c>
      <c r="D1014" s="423" t="s">
        <v>264</v>
      </c>
      <c r="E1014" s="423" t="s">
        <v>1192</v>
      </c>
      <c r="F1014" s="515" t="s">
        <v>198</v>
      </c>
      <c r="G1014" s="515"/>
      <c r="H1014" s="377" t="s">
        <v>22</v>
      </c>
      <c r="I1014" s="378">
        <v>1</v>
      </c>
      <c r="J1014" s="378"/>
      <c r="K1014" s="379">
        <v>36.89</v>
      </c>
      <c r="L1014" s="379">
        <v>36.89</v>
      </c>
    </row>
    <row r="1015" spans="2:12" ht="15" x14ac:dyDescent="0.25">
      <c r="B1015" s="424"/>
      <c r="C1015" s="424"/>
      <c r="D1015" s="424"/>
      <c r="E1015" s="424"/>
      <c r="F1015" s="424"/>
      <c r="G1015" s="380"/>
      <c r="H1015" s="424"/>
      <c r="I1015" s="380"/>
      <c r="J1015" s="424"/>
      <c r="K1015" s="380"/>
      <c r="L1015"/>
    </row>
    <row r="1016" spans="2:12" ht="15.75" thickBot="1" x14ac:dyDescent="0.3">
      <c r="B1016" s="424"/>
      <c r="C1016" s="424"/>
      <c r="D1016" s="424"/>
      <c r="E1016" s="424"/>
      <c r="F1016" s="424"/>
      <c r="G1016" s="380"/>
      <c r="H1016" s="424"/>
      <c r="I1016" s="516"/>
      <c r="J1016" s="516"/>
      <c r="K1016" s="380"/>
      <c r="L1016"/>
    </row>
    <row r="1017" spans="2:12" ht="13.5" thickTop="1" x14ac:dyDescent="0.25">
      <c r="B1017" s="381"/>
      <c r="C1017" s="381"/>
      <c r="D1017" s="381"/>
      <c r="E1017" s="381"/>
      <c r="F1017" s="381"/>
      <c r="G1017" s="381"/>
      <c r="H1017" s="381"/>
      <c r="I1017" s="381"/>
      <c r="J1017" s="381"/>
      <c r="K1017" s="381"/>
      <c r="L1017" s="381"/>
    </row>
    <row r="1018" spans="2:12" ht="15" x14ac:dyDescent="0.25">
      <c r="B1018" s="420" t="s">
        <v>1530</v>
      </c>
      <c r="C1018" s="366" t="s">
        <v>0</v>
      </c>
      <c r="D1018" s="420" t="s">
        <v>183</v>
      </c>
      <c r="E1018" s="420" t="s">
        <v>82</v>
      </c>
      <c r="F1018" s="517" t="s">
        <v>1</v>
      </c>
      <c r="G1018" s="517"/>
      <c r="H1018" s="367" t="s">
        <v>3</v>
      </c>
      <c r="I1018" s="366" t="s">
        <v>184</v>
      </c>
      <c r="J1018" s="366" t="s">
        <v>1426</v>
      </c>
      <c r="K1018" s="366" t="s">
        <v>185</v>
      </c>
      <c r="L1018" s="366" t="s">
        <v>4</v>
      </c>
    </row>
    <row r="1019" spans="2:12" ht="63.75" x14ac:dyDescent="0.25">
      <c r="B1019" s="421" t="s">
        <v>7</v>
      </c>
      <c r="C1019" s="368" t="s">
        <v>1261</v>
      </c>
      <c r="D1019" s="421" t="s">
        <v>124</v>
      </c>
      <c r="E1019" s="421" t="s">
        <v>1262</v>
      </c>
      <c r="F1019" s="518" t="s">
        <v>1305</v>
      </c>
      <c r="G1019" s="518"/>
      <c r="H1019" s="369" t="s">
        <v>22</v>
      </c>
      <c r="I1019" s="370">
        <v>1</v>
      </c>
      <c r="J1019" s="371"/>
      <c r="K1019" s="371">
        <v>10.1</v>
      </c>
      <c r="L1019" s="371">
        <v>10.1</v>
      </c>
    </row>
    <row r="1020" spans="2:12" ht="38.25" x14ac:dyDescent="0.25">
      <c r="B1020" s="422" t="s">
        <v>187</v>
      </c>
      <c r="C1020" s="372" t="s">
        <v>218</v>
      </c>
      <c r="D1020" s="422" t="s">
        <v>31</v>
      </c>
      <c r="E1020" s="422" t="s">
        <v>219</v>
      </c>
      <c r="F1020" s="519" t="s">
        <v>186</v>
      </c>
      <c r="G1020" s="519"/>
      <c r="H1020" s="373" t="s">
        <v>32</v>
      </c>
      <c r="I1020" s="374">
        <v>0.1</v>
      </c>
      <c r="J1020" s="374"/>
      <c r="K1020" s="375">
        <v>22.58</v>
      </c>
      <c r="L1020" s="375">
        <v>2.25</v>
      </c>
    </row>
    <row r="1021" spans="2:12" ht="38.25" x14ac:dyDescent="0.25">
      <c r="B1021" s="422" t="s">
        <v>187</v>
      </c>
      <c r="C1021" s="372" t="s">
        <v>216</v>
      </c>
      <c r="D1021" s="422" t="s">
        <v>31</v>
      </c>
      <c r="E1021" s="422" t="s">
        <v>217</v>
      </c>
      <c r="F1021" s="519" t="s">
        <v>186</v>
      </c>
      <c r="G1021" s="519"/>
      <c r="H1021" s="373" t="s">
        <v>32</v>
      </c>
      <c r="I1021" s="374">
        <v>0.1</v>
      </c>
      <c r="J1021" s="374"/>
      <c r="K1021" s="375">
        <v>18.48</v>
      </c>
      <c r="L1021" s="375">
        <v>1.84</v>
      </c>
    </row>
    <row r="1022" spans="2:12" ht="25.5" x14ac:dyDescent="0.25">
      <c r="B1022" s="423" t="s">
        <v>188</v>
      </c>
      <c r="C1022" s="376" t="s">
        <v>1306</v>
      </c>
      <c r="D1022" s="423" t="s">
        <v>849</v>
      </c>
      <c r="E1022" s="423" t="s">
        <v>1307</v>
      </c>
      <c r="F1022" s="515" t="s">
        <v>198</v>
      </c>
      <c r="G1022" s="515"/>
      <c r="H1022" s="377" t="s">
        <v>225</v>
      </c>
      <c r="I1022" s="378">
        <v>1</v>
      </c>
      <c r="J1022" s="378"/>
      <c r="K1022" s="379">
        <v>6.01</v>
      </c>
      <c r="L1022" s="379">
        <v>6.01</v>
      </c>
    </row>
    <row r="1023" spans="2:12" x14ac:dyDescent="0.25">
      <c r="B1023" s="423" t="s">
        <v>188</v>
      </c>
      <c r="C1023" s="376" t="s">
        <v>1308</v>
      </c>
      <c r="D1023" s="423" t="s">
        <v>124</v>
      </c>
      <c r="E1023" s="423" t="s">
        <v>1309</v>
      </c>
      <c r="F1023" s="515" t="s">
        <v>198</v>
      </c>
      <c r="G1023" s="515"/>
      <c r="H1023" s="377" t="s">
        <v>22</v>
      </c>
      <c r="I1023" s="378">
        <v>0</v>
      </c>
      <c r="J1023" s="378"/>
      <c r="K1023" s="379">
        <v>1</v>
      </c>
      <c r="L1023" s="379">
        <v>0</v>
      </c>
    </row>
    <row r="1024" spans="2:12" ht="15" x14ac:dyDescent="0.25">
      <c r="B1024" s="424"/>
      <c r="C1024" s="424"/>
      <c r="D1024" s="424"/>
      <c r="E1024" s="424"/>
      <c r="F1024" s="424"/>
      <c r="G1024" s="380"/>
      <c r="H1024" s="424"/>
      <c r="I1024" s="380"/>
      <c r="J1024" s="424"/>
      <c r="K1024" s="380"/>
      <c r="L1024"/>
    </row>
    <row r="1025" spans="2:12" ht="15.75" thickBot="1" x14ac:dyDescent="0.3">
      <c r="B1025" s="424"/>
      <c r="C1025" s="424"/>
      <c r="D1025" s="424"/>
      <c r="E1025" s="424"/>
      <c r="F1025" s="424"/>
      <c r="G1025" s="380"/>
      <c r="H1025" s="424"/>
      <c r="I1025" s="516"/>
      <c r="J1025" s="516"/>
      <c r="K1025" s="380"/>
      <c r="L1025"/>
    </row>
    <row r="1026" spans="2:12" ht="13.5" thickTop="1" x14ac:dyDescent="0.25">
      <c r="B1026" s="381"/>
      <c r="C1026" s="381"/>
      <c r="D1026" s="381"/>
      <c r="E1026" s="381"/>
      <c r="F1026" s="381"/>
      <c r="G1026" s="381"/>
      <c r="H1026" s="381"/>
      <c r="I1026" s="381"/>
      <c r="J1026" s="381"/>
      <c r="K1026" s="381"/>
      <c r="L1026" s="381"/>
    </row>
    <row r="1027" spans="2:12" ht="15" x14ac:dyDescent="0.25">
      <c r="B1027" s="420" t="s">
        <v>1531</v>
      </c>
      <c r="C1027" s="366" t="s">
        <v>0</v>
      </c>
      <c r="D1027" s="420" t="s">
        <v>183</v>
      </c>
      <c r="E1027" s="420" t="s">
        <v>82</v>
      </c>
      <c r="F1027" s="517" t="s">
        <v>1</v>
      </c>
      <c r="G1027" s="517"/>
      <c r="H1027" s="367" t="s">
        <v>3</v>
      </c>
      <c r="I1027" s="366" t="s">
        <v>184</v>
      </c>
      <c r="J1027" s="366" t="s">
        <v>1426</v>
      </c>
      <c r="K1027" s="366" t="s">
        <v>185</v>
      </c>
      <c r="L1027" s="366" t="s">
        <v>4</v>
      </c>
    </row>
    <row r="1028" spans="2:12" ht="51" x14ac:dyDescent="0.25">
      <c r="B1028" s="421" t="s">
        <v>7</v>
      </c>
      <c r="C1028" s="368" t="s">
        <v>1266</v>
      </c>
      <c r="D1028" s="421" t="s">
        <v>124</v>
      </c>
      <c r="E1028" s="421" t="s">
        <v>1267</v>
      </c>
      <c r="F1028" s="518" t="s">
        <v>1122</v>
      </c>
      <c r="G1028" s="518"/>
      <c r="H1028" s="369" t="s">
        <v>22</v>
      </c>
      <c r="I1028" s="370">
        <v>1</v>
      </c>
      <c r="J1028" s="371"/>
      <c r="K1028" s="371">
        <v>1014.1</v>
      </c>
      <c r="L1028" s="371">
        <v>1014.1</v>
      </c>
    </row>
    <row r="1029" spans="2:12" ht="38.25" x14ac:dyDescent="0.25">
      <c r="B1029" s="422" t="s">
        <v>187</v>
      </c>
      <c r="C1029" s="372" t="s">
        <v>218</v>
      </c>
      <c r="D1029" s="422" t="s">
        <v>31</v>
      </c>
      <c r="E1029" s="422" t="s">
        <v>219</v>
      </c>
      <c r="F1029" s="519" t="s">
        <v>186</v>
      </c>
      <c r="G1029" s="519"/>
      <c r="H1029" s="373" t="s">
        <v>32</v>
      </c>
      <c r="I1029" s="374">
        <v>1</v>
      </c>
      <c r="J1029" s="374"/>
      <c r="K1029" s="375">
        <v>22.58</v>
      </c>
      <c r="L1029" s="375">
        <v>22.58</v>
      </c>
    </row>
    <row r="1030" spans="2:12" ht="25.5" x14ac:dyDescent="0.25">
      <c r="B1030" s="423" t="s">
        <v>188</v>
      </c>
      <c r="C1030" s="376" t="s">
        <v>1312</v>
      </c>
      <c r="D1030" s="423" t="s">
        <v>1313</v>
      </c>
      <c r="E1030" s="423" t="s">
        <v>1314</v>
      </c>
      <c r="F1030" s="515" t="s">
        <v>198</v>
      </c>
      <c r="G1030" s="515"/>
      <c r="H1030" s="377" t="s">
        <v>22</v>
      </c>
      <c r="I1030" s="378">
        <v>2.14</v>
      </c>
      <c r="J1030" s="378"/>
      <c r="K1030" s="379">
        <v>463.33</v>
      </c>
      <c r="L1030" s="379">
        <v>991.52</v>
      </c>
    </row>
    <row r="1031" spans="2:12" ht="15" x14ac:dyDescent="0.25">
      <c r="B1031" s="424"/>
      <c r="C1031" s="424"/>
      <c r="D1031" s="424"/>
      <c r="E1031" s="424"/>
      <c r="F1031" s="424"/>
      <c r="G1031" s="380"/>
      <c r="H1031" s="424"/>
      <c r="I1031" s="380"/>
      <c r="J1031" s="424"/>
      <c r="K1031" s="380"/>
      <c r="L1031"/>
    </row>
    <row r="1032" spans="2:12" ht="15" x14ac:dyDescent="0.25">
      <c r="B1032" s="424"/>
      <c r="C1032" s="424"/>
      <c r="D1032" s="424"/>
      <c r="E1032" s="424"/>
      <c r="F1032" s="424"/>
      <c r="G1032" s="380"/>
      <c r="H1032" s="424"/>
      <c r="I1032" s="516"/>
      <c r="J1032" s="516"/>
      <c r="K1032" s="380"/>
      <c r="L1032"/>
    </row>
    <row r="1033" spans="2:12" ht="15" x14ac:dyDescent="0.25">
      <c r="B1033" s="420" t="s">
        <v>1404</v>
      </c>
      <c r="C1033" s="366" t="s">
        <v>0</v>
      </c>
      <c r="D1033" s="420" t="s">
        <v>183</v>
      </c>
      <c r="E1033" s="420" t="s">
        <v>82</v>
      </c>
      <c r="F1033" s="517" t="s">
        <v>1</v>
      </c>
      <c r="G1033" s="517"/>
      <c r="H1033" s="367" t="s">
        <v>3</v>
      </c>
      <c r="I1033" s="366" t="s">
        <v>184</v>
      </c>
      <c r="J1033" s="366" t="s">
        <v>1426</v>
      </c>
      <c r="K1033" s="366" t="s">
        <v>185</v>
      </c>
      <c r="L1033" s="366" t="s">
        <v>4</v>
      </c>
    </row>
    <row r="1034" spans="2:12" ht="25.5" x14ac:dyDescent="0.25">
      <c r="B1034" s="421" t="s">
        <v>7</v>
      </c>
      <c r="C1034" s="368" t="s">
        <v>1033</v>
      </c>
      <c r="D1034" s="421" t="s">
        <v>212</v>
      </c>
      <c r="E1034" s="421" t="s">
        <v>1034</v>
      </c>
      <c r="F1034" s="518" t="s">
        <v>1282</v>
      </c>
      <c r="G1034" s="518"/>
      <c r="H1034" s="369" t="s">
        <v>22</v>
      </c>
      <c r="I1034" s="370">
        <v>1</v>
      </c>
      <c r="J1034" s="371"/>
      <c r="K1034" s="371">
        <v>1633.17</v>
      </c>
      <c r="L1034" s="371">
        <v>1633.17</v>
      </c>
    </row>
    <row r="1035" spans="2:12" ht="38.25" x14ac:dyDescent="0.25">
      <c r="B1035" s="422" t="s">
        <v>187</v>
      </c>
      <c r="C1035" s="372" t="s">
        <v>268</v>
      </c>
      <c r="D1035" s="422" t="s">
        <v>31</v>
      </c>
      <c r="E1035" s="422" t="s">
        <v>269</v>
      </c>
      <c r="F1035" s="519" t="s">
        <v>186</v>
      </c>
      <c r="G1035" s="519"/>
      <c r="H1035" s="373" t="s">
        <v>32</v>
      </c>
      <c r="I1035" s="374">
        <v>1.169</v>
      </c>
      <c r="J1035" s="374"/>
      <c r="K1035" s="375">
        <v>29.08</v>
      </c>
      <c r="L1035" s="375">
        <v>33.99</v>
      </c>
    </row>
    <row r="1036" spans="2:12" ht="38.25" x14ac:dyDescent="0.25">
      <c r="B1036" s="422" t="s">
        <v>187</v>
      </c>
      <c r="C1036" s="372" t="s">
        <v>220</v>
      </c>
      <c r="D1036" s="422" t="s">
        <v>31</v>
      </c>
      <c r="E1036" s="422" t="s">
        <v>221</v>
      </c>
      <c r="F1036" s="519" t="s">
        <v>186</v>
      </c>
      <c r="G1036" s="519"/>
      <c r="H1036" s="373" t="s">
        <v>32</v>
      </c>
      <c r="I1036" s="374">
        <v>1.169</v>
      </c>
      <c r="J1036" s="374"/>
      <c r="K1036" s="375">
        <v>18.12</v>
      </c>
      <c r="L1036" s="375">
        <v>21.18</v>
      </c>
    </row>
    <row r="1037" spans="2:12" x14ac:dyDescent="0.25">
      <c r="B1037" s="423" t="s">
        <v>188</v>
      </c>
      <c r="C1037" s="376" t="s">
        <v>1598</v>
      </c>
      <c r="D1037" s="423" t="s">
        <v>212</v>
      </c>
      <c r="E1037" s="423" t="s">
        <v>1034</v>
      </c>
      <c r="F1037" s="515" t="s">
        <v>198</v>
      </c>
      <c r="G1037" s="515"/>
      <c r="H1037" s="377" t="s">
        <v>22</v>
      </c>
      <c r="I1037" s="378">
        <v>1</v>
      </c>
      <c r="J1037" s="378"/>
      <c r="K1037" s="379">
        <v>1578</v>
      </c>
      <c r="L1037" s="379">
        <v>1578</v>
      </c>
    </row>
    <row r="1038" spans="2:12" ht="15" x14ac:dyDescent="0.25">
      <c r="B1038" s="424"/>
      <c r="C1038" s="424"/>
      <c r="D1038" s="424"/>
      <c r="E1038" s="424"/>
      <c r="F1038" s="424"/>
      <c r="G1038" s="380"/>
      <c r="H1038" s="424"/>
      <c r="I1038" s="380"/>
      <c r="J1038" s="424"/>
      <c r="K1038" s="380"/>
      <c r="L1038"/>
    </row>
    <row r="1039" spans="2:12" ht="15.75" thickBot="1" x14ac:dyDescent="0.3">
      <c r="B1039" s="424"/>
      <c r="C1039" s="424"/>
      <c r="D1039" s="424"/>
      <c r="E1039" s="424"/>
      <c r="F1039" s="424"/>
      <c r="G1039" s="380"/>
      <c r="H1039" s="424"/>
      <c r="I1039" s="516"/>
      <c r="J1039" s="516"/>
      <c r="K1039" s="380"/>
      <c r="L1039"/>
    </row>
    <row r="1040" spans="2:12" ht="13.5" thickTop="1" x14ac:dyDescent="0.25">
      <c r="B1040" s="381"/>
      <c r="C1040" s="381"/>
      <c r="D1040" s="381"/>
      <c r="E1040" s="381"/>
      <c r="F1040" s="381"/>
      <c r="G1040" s="381"/>
      <c r="H1040" s="381"/>
      <c r="I1040" s="381"/>
      <c r="J1040" s="381"/>
      <c r="K1040" s="381"/>
      <c r="L1040" s="381"/>
    </row>
    <row r="1041" spans="2:12" ht="15" x14ac:dyDescent="0.25">
      <c r="B1041" s="420" t="s">
        <v>1405</v>
      </c>
      <c r="C1041" s="366" t="s">
        <v>0</v>
      </c>
      <c r="D1041" s="420" t="s">
        <v>183</v>
      </c>
      <c r="E1041" s="420" t="s">
        <v>82</v>
      </c>
      <c r="F1041" s="517" t="s">
        <v>1</v>
      </c>
      <c r="G1041" s="517"/>
      <c r="H1041" s="367" t="s">
        <v>3</v>
      </c>
      <c r="I1041" s="366" t="s">
        <v>184</v>
      </c>
      <c r="J1041" s="366" t="s">
        <v>1426</v>
      </c>
      <c r="K1041" s="366" t="s">
        <v>185</v>
      </c>
      <c r="L1041" s="366" t="s">
        <v>4</v>
      </c>
    </row>
    <row r="1042" spans="2:12" ht="25.5" x14ac:dyDescent="0.25">
      <c r="B1042" s="421" t="s">
        <v>7</v>
      </c>
      <c r="C1042" s="368" t="s">
        <v>758</v>
      </c>
      <c r="D1042" s="421" t="s">
        <v>212</v>
      </c>
      <c r="E1042" s="421" t="s">
        <v>759</v>
      </c>
      <c r="F1042" s="518" t="s">
        <v>1282</v>
      </c>
      <c r="G1042" s="518"/>
      <c r="H1042" s="369" t="s">
        <v>22</v>
      </c>
      <c r="I1042" s="370">
        <v>1</v>
      </c>
      <c r="J1042" s="371"/>
      <c r="K1042" s="371">
        <v>668.91</v>
      </c>
      <c r="L1042" s="371">
        <f>SUM(L1043:L1046)</f>
        <v>668.91</v>
      </c>
    </row>
    <row r="1043" spans="2:12" ht="38.25" x14ac:dyDescent="0.25">
      <c r="B1043" s="422" t="s">
        <v>187</v>
      </c>
      <c r="C1043" s="372" t="s">
        <v>268</v>
      </c>
      <c r="D1043" s="422" t="s">
        <v>31</v>
      </c>
      <c r="E1043" s="422" t="s">
        <v>269</v>
      </c>
      <c r="F1043" s="519" t="s">
        <v>186</v>
      </c>
      <c r="G1043" s="519"/>
      <c r="H1043" s="373" t="s">
        <v>32</v>
      </c>
      <c r="I1043" s="374">
        <v>2.1</v>
      </c>
      <c r="J1043" s="374"/>
      <c r="K1043" s="375">
        <v>29.08</v>
      </c>
      <c r="L1043" s="375">
        <f>TRUNC(K1043*I1043,2)</f>
        <v>61.06</v>
      </c>
    </row>
    <row r="1044" spans="2:12" ht="38.25" x14ac:dyDescent="0.25">
      <c r="B1044" s="422" t="s">
        <v>187</v>
      </c>
      <c r="C1044" s="372" t="s">
        <v>220</v>
      </c>
      <c r="D1044" s="422" t="s">
        <v>31</v>
      </c>
      <c r="E1044" s="422" t="s">
        <v>221</v>
      </c>
      <c r="F1044" s="519" t="s">
        <v>186</v>
      </c>
      <c r="G1044" s="519"/>
      <c r="H1044" s="373" t="s">
        <v>32</v>
      </c>
      <c r="I1044" s="374">
        <v>2.1</v>
      </c>
      <c r="J1044" s="374"/>
      <c r="K1044" s="375">
        <v>18.12</v>
      </c>
      <c r="L1044" s="375">
        <f>TRUNC(K1044*I1044,2)</f>
        <v>38.049999999999997</v>
      </c>
    </row>
    <row r="1045" spans="2:12" x14ac:dyDescent="0.25">
      <c r="B1045" s="423" t="s">
        <v>188</v>
      </c>
      <c r="C1045" s="376" t="s">
        <v>831</v>
      </c>
      <c r="D1045" s="423" t="s">
        <v>212</v>
      </c>
      <c r="E1045" s="423" t="s">
        <v>832</v>
      </c>
      <c r="F1045" s="515" t="s">
        <v>198</v>
      </c>
      <c r="G1045" s="515"/>
      <c r="H1045" s="377" t="s">
        <v>22</v>
      </c>
      <c r="I1045" s="378">
        <v>1</v>
      </c>
      <c r="J1045" s="378"/>
      <c r="K1045" s="379">
        <v>569.79999999999995</v>
      </c>
      <c r="L1045" s="379">
        <f t="shared" ref="L1045" si="3">TRUNC(K1045*I1045,2)</f>
        <v>569.79999999999995</v>
      </c>
    </row>
    <row r="1046" spans="2:12" ht="15" x14ac:dyDescent="0.25">
      <c r="B1046" s="424"/>
      <c r="C1046" s="424"/>
      <c r="D1046" s="424"/>
      <c r="E1046" s="424"/>
      <c r="F1046" s="424"/>
      <c r="G1046" s="380"/>
      <c r="H1046" s="424"/>
      <c r="I1046" s="380"/>
      <c r="J1046" s="424"/>
      <c r="K1046" s="380"/>
      <c r="L1046"/>
    </row>
    <row r="1047" spans="2:12" ht="15.75" thickBot="1" x14ac:dyDescent="0.3">
      <c r="B1047" s="424"/>
      <c r="C1047" s="424"/>
      <c r="D1047" s="424"/>
      <c r="E1047" s="424"/>
      <c r="F1047" s="424"/>
      <c r="G1047" s="380"/>
      <c r="H1047" s="424"/>
      <c r="I1047" s="516"/>
      <c r="J1047" s="516"/>
      <c r="K1047" s="380"/>
      <c r="L1047"/>
    </row>
    <row r="1048" spans="2:12" ht="13.5" thickTop="1" x14ac:dyDescent="0.25">
      <c r="B1048" s="381"/>
      <c r="C1048" s="381"/>
      <c r="D1048" s="381"/>
      <c r="E1048" s="381"/>
      <c r="F1048" s="381"/>
      <c r="G1048" s="381"/>
      <c r="H1048" s="381"/>
      <c r="I1048" s="381"/>
      <c r="J1048" s="381"/>
      <c r="K1048" s="381"/>
      <c r="L1048" s="381"/>
    </row>
    <row r="1049" spans="2:12" ht="15" x14ac:dyDescent="0.25">
      <c r="B1049" s="420" t="s">
        <v>1599</v>
      </c>
      <c r="C1049" s="366" t="s">
        <v>0</v>
      </c>
      <c r="D1049" s="420" t="s">
        <v>183</v>
      </c>
      <c r="E1049" s="420" t="s">
        <v>82</v>
      </c>
      <c r="F1049" s="517" t="s">
        <v>1</v>
      </c>
      <c r="G1049" s="517"/>
      <c r="H1049" s="367" t="s">
        <v>3</v>
      </c>
      <c r="I1049" s="366" t="s">
        <v>184</v>
      </c>
      <c r="J1049" s="366" t="s">
        <v>1426</v>
      </c>
      <c r="K1049" s="366" t="s">
        <v>185</v>
      </c>
      <c r="L1049" s="366" t="s">
        <v>4</v>
      </c>
    </row>
    <row r="1050" spans="2:12" ht="25.5" x14ac:dyDescent="0.25">
      <c r="B1050" s="421" t="s">
        <v>7</v>
      </c>
      <c r="C1050" s="368" t="s">
        <v>757</v>
      </c>
      <c r="D1050" s="421" t="s">
        <v>124</v>
      </c>
      <c r="E1050" s="421" t="s">
        <v>550</v>
      </c>
      <c r="F1050" s="518" t="s">
        <v>250</v>
      </c>
      <c r="G1050" s="518"/>
      <c r="H1050" s="369" t="s">
        <v>243</v>
      </c>
      <c r="I1050" s="370">
        <v>1</v>
      </c>
      <c r="J1050" s="371"/>
      <c r="K1050" s="371">
        <v>522.19000000000005</v>
      </c>
      <c r="L1050" s="371">
        <f>SUM(L1051:L1054)</f>
        <v>522.19000000000005</v>
      </c>
    </row>
    <row r="1051" spans="2:12" ht="38.25" x14ac:dyDescent="0.25">
      <c r="B1051" s="422" t="s">
        <v>187</v>
      </c>
      <c r="C1051" s="372" t="s">
        <v>218</v>
      </c>
      <c r="D1051" s="422" t="s">
        <v>31</v>
      </c>
      <c r="E1051" s="422" t="s">
        <v>219</v>
      </c>
      <c r="F1051" s="519" t="s">
        <v>186</v>
      </c>
      <c r="G1051" s="519"/>
      <c r="H1051" s="373" t="s">
        <v>32</v>
      </c>
      <c r="I1051" s="374">
        <v>0.2</v>
      </c>
      <c r="J1051" s="374"/>
      <c r="K1051" s="375">
        <v>22.58</v>
      </c>
      <c r="L1051" s="375">
        <f>TRUNC(K1051*I1051,2)</f>
        <v>4.51</v>
      </c>
    </row>
    <row r="1052" spans="2:12" ht="38.25" x14ac:dyDescent="0.25">
      <c r="B1052" s="422" t="s">
        <v>187</v>
      </c>
      <c r="C1052" s="372" t="s">
        <v>216</v>
      </c>
      <c r="D1052" s="422" t="s">
        <v>31</v>
      </c>
      <c r="E1052" s="422" t="s">
        <v>217</v>
      </c>
      <c r="F1052" s="519" t="s">
        <v>186</v>
      </c>
      <c r="G1052" s="519"/>
      <c r="H1052" s="373" t="s">
        <v>32</v>
      </c>
      <c r="I1052" s="374">
        <v>0.2</v>
      </c>
      <c r="J1052" s="374"/>
      <c r="K1052" s="375">
        <v>18.48</v>
      </c>
      <c r="L1052" s="375">
        <f>TRUNC(K1052*I1052,2)</f>
        <v>3.69</v>
      </c>
    </row>
    <row r="1053" spans="2:12" x14ac:dyDescent="0.25">
      <c r="B1053" s="423" t="s">
        <v>188</v>
      </c>
      <c r="C1053" s="376" t="s">
        <v>829</v>
      </c>
      <c r="D1053" s="423" t="s">
        <v>212</v>
      </c>
      <c r="E1053" s="423" t="s">
        <v>830</v>
      </c>
      <c r="F1053" s="515" t="s">
        <v>198</v>
      </c>
      <c r="G1053" s="515"/>
      <c r="H1053" s="377" t="s">
        <v>22</v>
      </c>
      <c r="I1053" s="378">
        <v>1</v>
      </c>
      <c r="J1053" s="378"/>
      <c r="K1053" s="379">
        <v>513.99</v>
      </c>
      <c r="L1053" s="379">
        <f t="shared" ref="L1053" si="4">TRUNC(K1053*I1053,2)</f>
        <v>513.99</v>
      </c>
    </row>
    <row r="1054" spans="2:12" ht="15" x14ac:dyDescent="0.25">
      <c r="B1054" s="424"/>
      <c r="C1054" s="424"/>
      <c r="D1054" s="424"/>
      <c r="E1054" s="424"/>
      <c r="F1054" s="424"/>
      <c r="G1054" s="380"/>
      <c r="H1054" s="424"/>
      <c r="I1054" s="380"/>
      <c r="J1054" s="424"/>
      <c r="K1054" s="380"/>
      <c r="L1054"/>
    </row>
    <row r="1055" spans="2:12" ht="15.75" thickBot="1" x14ac:dyDescent="0.3">
      <c r="B1055" s="424"/>
      <c r="C1055" s="424"/>
      <c r="D1055" s="424"/>
      <c r="E1055" s="424"/>
      <c r="F1055" s="424"/>
      <c r="G1055" s="380"/>
      <c r="H1055" s="424"/>
      <c r="I1055" s="516"/>
      <c r="J1055" s="516"/>
      <c r="K1055" s="380"/>
      <c r="L1055"/>
    </row>
    <row r="1056" spans="2:12" ht="13.5" thickTop="1" x14ac:dyDescent="0.25">
      <c r="B1056" s="381"/>
      <c r="C1056" s="381"/>
      <c r="D1056" s="381"/>
      <c r="E1056" s="381"/>
      <c r="F1056" s="381"/>
      <c r="G1056" s="381"/>
      <c r="H1056" s="381"/>
      <c r="I1056" s="381"/>
      <c r="J1056" s="381"/>
      <c r="K1056" s="381"/>
      <c r="L1056" s="381"/>
    </row>
    <row r="1057" spans="2:12" ht="15" x14ac:dyDescent="0.25">
      <c r="B1057" s="420" t="s">
        <v>1600</v>
      </c>
      <c r="C1057" s="366" t="s">
        <v>0</v>
      </c>
      <c r="D1057" s="420" t="s">
        <v>183</v>
      </c>
      <c r="E1057" s="420" t="s">
        <v>82</v>
      </c>
      <c r="F1057" s="517" t="s">
        <v>1</v>
      </c>
      <c r="G1057" s="517"/>
      <c r="H1057" s="367" t="s">
        <v>3</v>
      </c>
      <c r="I1057" s="366" t="s">
        <v>184</v>
      </c>
      <c r="J1057" s="366" t="s">
        <v>1426</v>
      </c>
      <c r="K1057" s="366" t="s">
        <v>185</v>
      </c>
      <c r="L1057" s="366" t="s">
        <v>4</v>
      </c>
    </row>
    <row r="1058" spans="2:12" ht="25.5" x14ac:dyDescent="0.25">
      <c r="B1058" s="421" t="s">
        <v>7</v>
      </c>
      <c r="C1058" s="368" t="s">
        <v>760</v>
      </c>
      <c r="D1058" s="421" t="s">
        <v>212</v>
      </c>
      <c r="E1058" s="421" t="s">
        <v>761</v>
      </c>
      <c r="F1058" s="518" t="s">
        <v>1282</v>
      </c>
      <c r="G1058" s="518"/>
      <c r="H1058" s="369" t="s">
        <v>22</v>
      </c>
      <c r="I1058" s="370">
        <v>1</v>
      </c>
      <c r="J1058" s="371"/>
      <c r="K1058" s="371">
        <v>67.459999999999994</v>
      </c>
      <c r="L1058" s="371">
        <f>SUM(L1059:L1062)</f>
        <v>67.460000000000008</v>
      </c>
    </row>
    <row r="1059" spans="2:12" ht="38.25" x14ac:dyDescent="0.25">
      <c r="B1059" s="422" t="s">
        <v>187</v>
      </c>
      <c r="C1059" s="372" t="s">
        <v>216</v>
      </c>
      <c r="D1059" s="422" t="s">
        <v>31</v>
      </c>
      <c r="E1059" s="422" t="s">
        <v>217</v>
      </c>
      <c r="F1059" s="519" t="s">
        <v>186</v>
      </c>
      <c r="G1059" s="519"/>
      <c r="H1059" s="373" t="s">
        <v>32</v>
      </c>
      <c r="I1059" s="374">
        <v>0.2</v>
      </c>
      <c r="J1059" s="374"/>
      <c r="K1059" s="375">
        <v>18.48</v>
      </c>
      <c r="L1059" s="375">
        <f>TRUNC(K1059*I1059,2)</f>
        <v>3.69</v>
      </c>
    </row>
    <row r="1060" spans="2:12" x14ac:dyDescent="0.25">
      <c r="B1060" s="423" t="s">
        <v>188</v>
      </c>
      <c r="C1060" s="376" t="s">
        <v>833</v>
      </c>
      <c r="D1060" s="423" t="s">
        <v>212</v>
      </c>
      <c r="E1060" s="423" t="s">
        <v>834</v>
      </c>
      <c r="F1060" s="515" t="s">
        <v>198</v>
      </c>
      <c r="G1060" s="515"/>
      <c r="H1060" s="377" t="s">
        <v>22</v>
      </c>
      <c r="I1060" s="378">
        <v>1</v>
      </c>
      <c r="J1060" s="378"/>
      <c r="K1060" s="379">
        <v>63.77</v>
      </c>
      <c r="L1060" s="379">
        <f>TRUNC(K1060*I1060,2)</f>
        <v>63.77</v>
      </c>
    </row>
    <row r="1061" spans="2:12" x14ac:dyDescent="0.25">
      <c r="B1061" s="424"/>
      <c r="C1061" s="424"/>
      <c r="D1061" s="424"/>
      <c r="E1061" s="424"/>
      <c r="F1061" s="424"/>
      <c r="G1061" s="380"/>
      <c r="H1061" s="424"/>
      <c r="I1061" s="380"/>
      <c r="J1061" s="424"/>
      <c r="K1061" s="380"/>
      <c r="L1061" s="456"/>
    </row>
    <row r="1062" spans="2:12" ht="15.75" thickBot="1" x14ac:dyDescent="0.3">
      <c r="B1062" s="424"/>
      <c r="C1062" s="424"/>
      <c r="D1062" s="424"/>
      <c r="E1062" s="424"/>
      <c r="F1062" s="424"/>
      <c r="G1062" s="380"/>
      <c r="H1062" s="424"/>
      <c r="I1062" s="516"/>
      <c r="J1062" s="516"/>
      <c r="K1062" s="380"/>
      <c r="L1062"/>
    </row>
    <row r="1063" spans="2:12" ht="13.5" thickTop="1" x14ac:dyDescent="0.25">
      <c r="B1063" s="381"/>
      <c r="C1063" s="381"/>
      <c r="D1063" s="381"/>
      <c r="E1063" s="381"/>
      <c r="F1063" s="381"/>
      <c r="G1063" s="381"/>
      <c r="H1063" s="381"/>
      <c r="I1063" s="381"/>
      <c r="J1063" s="381"/>
      <c r="K1063" s="381"/>
      <c r="L1063" s="381"/>
    </row>
    <row r="1064" spans="2:12" ht="15" x14ac:dyDescent="0.25">
      <c r="B1064" s="420" t="s">
        <v>1601</v>
      </c>
      <c r="C1064" s="366" t="s">
        <v>0</v>
      </c>
      <c r="D1064" s="420" t="s">
        <v>183</v>
      </c>
      <c r="E1064" s="420" t="s">
        <v>82</v>
      </c>
      <c r="F1064" s="517" t="s">
        <v>1</v>
      </c>
      <c r="G1064" s="517"/>
      <c r="H1064" s="367" t="s">
        <v>3</v>
      </c>
      <c r="I1064" s="366" t="s">
        <v>184</v>
      </c>
      <c r="J1064" s="366" t="s">
        <v>1426</v>
      </c>
      <c r="K1064" s="366" t="s">
        <v>185</v>
      </c>
      <c r="L1064" s="366" t="s">
        <v>4</v>
      </c>
    </row>
    <row r="1065" spans="2:12" ht="25.5" x14ac:dyDescent="0.25">
      <c r="B1065" s="421" t="s">
        <v>7</v>
      </c>
      <c r="C1065" s="368" t="s">
        <v>762</v>
      </c>
      <c r="D1065" s="421" t="s">
        <v>31</v>
      </c>
      <c r="E1065" s="421" t="s">
        <v>763</v>
      </c>
      <c r="F1065" s="518" t="s">
        <v>250</v>
      </c>
      <c r="G1065" s="518"/>
      <c r="H1065" s="369" t="s">
        <v>22</v>
      </c>
      <c r="I1065" s="370">
        <v>1</v>
      </c>
      <c r="J1065" s="371"/>
      <c r="K1065" s="371">
        <v>900.27</v>
      </c>
      <c r="L1065" s="371">
        <f>SUM(L1066:L1069)</f>
        <v>900.27</v>
      </c>
    </row>
    <row r="1066" spans="2:12" ht="38.25" x14ac:dyDescent="0.25">
      <c r="B1066" s="422" t="s">
        <v>187</v>
      </c>
      <c r="C1066" s="372" t="s">
        <v>216</v>
      </c>
      <c r="D1066" s="422" t="s">
        <v>31</v>
      </c>
      <c r="E1066" s="422" t="s">
        <v>217</v>
      </c>
      <c r="F1066" s="519" t="s">
        <v>186</v>
      </c>
      <c r="G1066" s="519"/>
      <c r="H1066" s="373" t="s">
        <v>32</v>
      </c>
      <c r="I1066" s="374">
        <v>6.2007000000000003</v>
      </c>
      <c r="J1066" s="374"/>
      <c r="K1066" s="375">
        <v>18.48</v>
      </c>
      <c r="L1066" s="375">
        <f>TRUNC(K1066*I1066,2)</f>
        <v>114.58</v>
      </c>
    </row>
    <row r="1067" spans="2:12" ht="38.25" x14ac:dyDescent="0.25">
      <c r="B1067" s="422" t="s">
        <v>187</v>
      </c>
      <c r="C1067" s="372" t="s">
        <v>218</v>
      </c>
      <c r="D1067" s="422" t="s">
        <v>31</v>
      </c>
      <c r="E1067" s="422" t="s">
        <v>219</v>
      </c>
      <c r="F1067" s="519" t="s">
        <v>186</v>
      </c>
      <c r="G1067" s="519"/>
      <c r="H1067" s="373" t="s">
        <v>32</v>
      </c>
      <c r="I1067" s="374">
        <v>6.2007000000000003</v>
      </c>
      <c r="J1067" s="374"/>
      <c r="K1067" s="375">
        <v>22.58</v>
      </c>
      <c r="L1067" s="375">
        <f>TRUNC(K1067*I1067,2)</f>
        <v>140.01</v>
      </c>
    </row>
    <row r="1068" spans="2:12" ht="38.25" x14ac:dyDescent="0.25">
      <c r="B1068" s="423" t="s">
        <v>188</v>
      </c>
      <c r="C1068" s="376" t="s">
        <v>835</v>
      </c>
      <c r="D1068" s="423" t="s">
        <v>31</v>
      </c>
      <c r="E1068" s="423" t="s">
        <v>836</v>
      </c>
      <c r="F1068" s="515" t="s">
        <v>198</v>
      </c>
      <c r="G1068" s="515"/>
      <c r="H1068" s="377" t="s">
        <v>22</v>
      </c>
      <c r="I1068" s="378">
        <v>1</v>
      </c>
      <c r="J1068" s="378"/>
      <c r="K1068" s="379">
        <v>645.67999999999995</v>
      </c>
      <c r="L1068" s="379">
        <f t="shared" ref="L1068" si="5">TRUNC(K1068*I1068,2)</f>
        <v>645.67999999999995</v>
      </c>
    </row>
    <row r="1069" spans="2:12" ht="15" x14ac:dyDescent="0.25">
      <c r="B1069" s="424"/>
      <c r="C1069" s="424"/>
      <c r="D1069" s="424"/>
      <c r="E1069" s="424"/>
      <c r="F1069" s="424"/>
      <c r="G1069" s="380"/>
      <c r="H1069" s="424"/>
      <c r="I1069" s="380"/>
      <c r="J1069" s="424"/>
      <c r="K1069" s="380"/>
      <c r="L1069"/>
    </row>
    <row r="1070" spans="2:12" ht="15.75" thickBot="1" x14ac:dyDescent="0.3">
      <c r="B1070" s="424"/>
      <c r="C1070" s="424"/>
      <c r="D1070" s="424"/>
      <c r="E1070" s="424"/>
      <c r="F1070" s="424"/>
      <c r="G1070" s="380"/>
      <c r="H1070" s="424"/>
      <c r="I1070" s="516"/>
      <c r="J1070" s="516"/>
      <c r="K1070" s="380"/>
      <c r="L1070"/>
    </row>
    <row r="1071" spans="2:12" ht="13.5" thickTop="1" x14ac:dyDescent="0.25">
      <c r="B1071" s="381"/>
      <c r="C1071" s="381"/>
      <c r="D1071" s="381"/>
      <c r="E1071" s="381"/>
      <c r="F1071" s="381"/>
      <c r="G1071" s="381"/>
      <c r="H1071" s="381"/>
      <c r="I1071" s="381"/>
      <c r="J1071" s="381"/>
      <c r="K1071" s="381"/>
      <c r="L1071" s="381"/>
    </row>
    <row r="1072" spans="2:12" ht="15" x14ac:dyDescent="0.25">
      <c r="B1072" s="420" t="s">
        <v>1602</v>
      </c>
      <c r="C1072" s="366" t="s">
        <v>0</v>
      </c>
      <c r="D1072" s="420" t="s">
        <v>183</v>
      </c>
      <c r="E1072" s="420" t="s">
        <v>82</v>
      </c>
      <c r="F1072" s="517" t="s">
        <v>1</v>
      </c>
      <c r="G1072" s="517"/>
      <c r="H1072" s="367" t="s">
        <v>3</v>
      </c>
      <c r="I1072" s="366" t="s">
        <v>184</v>
      </c>
      <c r="J1072" s="366" t="s">
        <v>1426</v>
      </c>
      <c r="K1072" s="366" t="s">
        <v>185</v>
      </c>
      <c r="L1072" s="366" t="s">
        <v>4</v>
      </c>
    </row>
    <row r="1073" spans="2:12" ht="25.5" x14ac:dyDescent="0.25">
      <c r="B1073" s="421" t="s">
        <v>7</v>
      </c>
      <c r="C1073" s="368" t="s">
        <v>764</v>
      </c>
      <c r="D1073" s="421" t="s">
        <v>212</v>
      </c>
      <c r="E1073" s="421" t="s">
        <v>765</v>
      </c>
      <c r="F1073" s="518" t="s">
        <v>1282</v>
      </c>
      <c r="G1073" s="518"/>
      <c r="H1073" s="369" t="s">
        <v>22</v>
      </c>
      <c r="I1073" s="370">
        <v>1</v>
      </c>
      <c r="J1073" s="371"/>
      <c r="K1073" s="371">
        <v>99.19</v>
      </c>
      <c r="L1073" s="371">
        <f>SUM(L1074:L1077)</f>
        <v>99.19</v>
      </c>
    </row>
    <row r="1074" spans="2:12" ht="38.25" x14ac:dyDescent="0.25">
      <c r="B1074" s="422" t="s">
        <v>187</v>
      </c>
      <c r="C1074" s="372" t="s">
        <v>216</v>
      </c>
      <c r="D1074" s="422" t="s">
        <v>31</v>
      </c>
      <c r="E1074" s="422" t="s">
        <v>217</v>
      </c>
      <c r="F1074" s="519" t="s">
        <v>186</v>
      </c>
      <c r="G1074" s="519"/>
      <c r="H1074" s="373" t="s">
        <v>32</v>
      </c>
      <c r="I1074" s="374">
        <v>0.2</v>
      </c>
      <c r="J1074" s="374"/>
      <c r="K1074" s="375">
        <v>18.48</v>
      </c>
      <c r="L1074" s="375">
        <f>TRUNC(K1074*I1074,2)</f>
        <v>3.69</v>
      </c>
    </row>
    <row r="1075" spans="2:12" x14ac:dyDescent="0.25">
      <c r="B1075" s="423" t="s">
        <v>188</v>
      </c>
      <c r="C1075" s="376" t="s">
        <v>837</v>
      </c>
      <c r="D1075" s="423" t="s">
        <v>212</v>
      </c>
      <c r="E1075" s="423" t="s">
        <v>838</v>
      </c>
      <c r="F1075" s="515" t="s">
        <v>198</v>
      </c>
      <c r="G1075" s="515"/>
      <c r="H1075" s="377" t="s">
        <v>22</v>
      </c>
      <c r="I1075" s="378">
        <v>1</v>
      </c>
      <c r="J1075" s="378"/>
      <c r="K1075" s="379">
        <v>95.5</v>
      </c>
      <c r="L1075" s="375">
        <f>TRUNC(K1075*I1075,2)</f>
        <v>95.5</v>
      </c>
    </row>
    <row r="1076" spans="2:12" x14ac:dyDescent="0.25">
      <c r="B1076" s="424"/>
      <c r="C1076" s="424"/>
      <c r="D1076" s="424"/>
      <c r="E1076" s="424"/>
      <c r="F1076" s="424"/>
      <c r="G1076" s="380"/>
      <c r="H1076" s="424"/>
      <c r="I1076" s="380"/>
      <c r="J1076" s="424"/>
      <c r="K1076" s="380"/>
      <c r="L1076" s="456"/>
    </row>
    <row r="1077" spans="2:12" ht="15.75" thickBot="1" x14ac:dyDescent="0.3">
      <c r="B1077" s="424"/>
      <c r="C1077" s="424"/>
      <c r="D1077" s="424"/>
      <c r="E1077" s="424"/>
      <c r="F1077" s="424"/>
      <c r="G1077" s="380"/>
      <c r="H1077" s="424"/>
      <c r="I1077" s="516"/>
      <c r="J1077" s="516"/>
      <c r="K1077" s="380"/>
      <c r="L1077"/>
    </row>
    <row r="1078" spans="2:12" ht="13.5" thickTop="1" x14ac:dyDescent="0.25">
      <c r="B1078" s="381"/>
      <c r="C1078" s="381"/>
      <c r="D1078" s="381"/>
      <c r="E1078" s="381"/>
      <c r="F1078" s="381"/>
      <c r="G1078" s="381"/>
      <c r="H1078" s="381"/>
      <c r="I1078" s="381"/>
      <c r="J1078" s="381"/>
      <c r="K1078" s="381"/>
      <c r="L1078" s="381"/>
    </row>
    <row r="1079" spans="2:12" ht="15" x14ac:dyDescent="0.25">
      <c r="B1079" s="420" t="s">
        <v>1603</v>
      </c>
      <c r="C1079" s="366" t="s">
        <v>0</v>
      </c>
      <c r="D1079" s="420" t="s">
        <v>183</v>
      </c>
      <c r="E1079" s="420" t="s">
        <v>82</v>
      </c>
      <c r="F1079" s="517" t="s">
        <v>1</v>
      </c>
      <c r="G1079" s="517"/>
      <c r="H1079" s="367" t="s">
        <v>3</v>
      </c>
      <c r="I1079" s="366" t="s">
        <v>184</v>
      </c>
      <c r="J1079" s="366" t="s">
        <v>1426</v>
      </c>
      <c r="K1079" s="366" t="s">
        <v>185</v>
      </c>
      <c r="L1079" s="366" t="s">
        <v>4</v>
      </c>
    </row>
    <row r="1080" spans="2:12" ht="25.5" x14ac:dyDescent="0.25">
      <c r="B1080" s="421" t="s">
        <v>7</v>
      </c>
      <c r="C1080" s="368" t="s">
        <v>1021</v>
      </c>
      <c r="D1080" s="421" t="s">
        <v>212</v>
      </c>
      <c r="E1080" s="421" t="s">
        <v>1022</v>
      </c>
      <c r="F1080" s="518" t="s">
        <v>1282</v>
      </c>
      <c r="G1080" s="518"/>
      <c r="H1080" s="369" t="s">
        <v>22</v>
      </c>
      <c r="I1080" s="370">
        <v>1</v>
      </c>
      <c r="J1080" s="371"/>
      <c r="K1080" s="371">
        <v>1134.55</v>
      </c>
      <c r="L1080" s="371">
        <f>SUM(L1081:L1084)</f>
        <v>1134.5500000000002</v>
      </c>
    </row>
    <row r="1081" spans="2:12" ht="38.25" x14ac:dyDescent="0.25">
      <c r="B1081" s="422" t="s">
        <v>187</v>
      </c>
      <c r="C1081" s="372" t="s">
        <v>218</v>
      </c>
      <c r="D1081" s="422" t="s">
        <v>31</v>
      </c>
      <c r="E1081" s="422" t="s">
        <v>219</v>
      </c>
      <c r="F1081" s="519" t="s">
        <v>186</v>
      </c>
      <c r="G1081" s="519"/>
      <c r="H1081" s="373" t="s">
        <v>32</v>
      </c>
      <c r="I1081" s="374">
        <v>2.0619999999999998</v>
      </c>
      <c r="J1081" s="374"/>
      <c r="K1081" s="375">
        <v>22.58</v>
      </c>
      <c r="L1081" s="375">
        <f>TRUNC(K1081*I1081,2)</f>
        <v>46.55</v>
      </c>
    </row>
    <row r="1082" spans="2:12" ht="38.25" x14ac:dyDescent="0.25">
      <c r="B1082" s="422" t="s">
        <v>187</v>
      </c>
      <c r="C1082" s="372" t="s">
        <v>216</v>
      </c>
      <c r="D1082" s="422" t="s">
        <v>31</v>
      </c>
      <c r="E1082" s="422" t="s">
        <v>217</v>
      </c>
      <c r="F1082" s="519" t="s">
        <v>186</v>
      </c>
      <c r="G1082" s="519"/>
      <c r="H1082" s="373" t="s">
        <v>32</v>
      </c>
      <c r="I1082" s="374">
        <v>2.0619999999999998</v>
      </c>
      <c r="J1082" s="374"/>
      <c r="K1082" s="375">
        <v>18.48</v>
      </c>
      <c r="L1082" s="375">
        <f>TRUNC(K1082*I1082,2)</f>
        <v>38.1</v>
      </c>
    </row>
    <row r="1083" spans="2:12" x14ac:dyDescent="0.25">
      <c r="B1083" s="423" t="s">
        <v>188</v>
      </c>
      <c r="C1083" s="376" t="s">
        <v>1338</v>
      </c>
      <c r="D1083" s="423" t="s">
        <v>212</v>
      </c>
      <c r="E1083" s="423" t="s">
        <v>1339</v>
      </c>
      <c r="F1083" s="515" t="s">
        <v>198</v>
      </c>
      <c r="G1083" s="515"/>
      <c r="H1083" s="377" t="s">
        <v>22</v>
      </c>
      <c r="I1083" s="378">
        <v>1</v>
      </c>
      <c r="J1083" s="378"/>
      <c r="K1083" s="379">
        <v>1049.9000000000001</v>
      </c>
      <c r="L1083" s="379">
        <f t="shared" ref="L1083" si="6">TRUNC(K1083*I1083,2)</f>
        <v>1049.9000000000001</v>
      </c>
    </row>
    <row r="1084" spans="2:12" ht="15" x14ac:dyDescent="0.25">
      <c r="B1084" s="424"/>
      <c r="C1084" s="424"/>
      <c r="D1084" s="424"/>
      <c r="E1084" s="424"/>
      <c r="F1084" s="424"/>
      <c r="G1084" s="380"/>
      <c r="H1084" s="424"/>
      <c r="I1084" s="380"/>
      <c r="J1084" s="424"/>
      <c r="K1084" s="380"/>
      <c r="L1084"/>
    </row>
    <row r="1085" spans="2:12" ht="15.75" thickBot="1" x14ac:dyDescent="0.3">
      <c r="B1085" s="424"/>
      <c r="C1085" s="424"/>
      <c r="D1085" s="424"/>
      <c r="E1085" s="424"/>
      <c r="F1085" s="424"/>
      <c r="G1085" s="380"/>
      <c r="H1085" s="424"/>
      <c r="I1085" s="516"/>
      <c r="J1085" s="516"/>
      <c r="K1085" s="380"/>
      <c r="L1085"/>
    </row>
    <row r="1086" spans="2:12" ht="13.5" thickTop="1" x14ac:dyDescent="0.25">
      <c r="B1086" s="381"/>
      <c r="C1086" s="381"/>
      <c r="D1086" s="381"/>
      <c r="E1086" s="381"/>
      <c r="F1086" s="381"/>
      <c r="G1086" s="381"/>
      <c r="H1086" s="381"/>
      <c r="I1086" s="381"/>
      <c r="J1086" s="381"/>
      <c r="K1086" s="381"/>
      <c r="L1086" s="381"/>
    </row>
    <row r="1087" spans="2:12" ht="15" x14ac:dyDescent="0.25">
      <c r="B1087" s="420" t="s">
        <v>1604</v>
      </c>
      <c r="C1087" s="366" t="s">
        <v>0</v>
      </c>
      <c r="D1087" s="420" t="s">
        <v>183</v>
      </c>
      <c r="E1087" s="420" t="s">
        <v>82</v>
      </c>
      <c r="F1087" s="517" t="s">
        <v>1</v>
      </c>
      <c r="G1087" s="517"/>
      <c r="H1087" s="367" t="s">
        <v>3</v>
      </c>
      <c r="I1087" s="366" t="s">
        <v>184</v>
      </c>
      <c r="J1087" s="366" t="s">
        <v>1426</v>
      </c>
      <c r="K1087" s="366" t="s">
        <v>185</v>
      </c>
      <c r="L1087" s="366" t="s">
        <v>4</v>
      </c>
    </row>
    <row r="1088" spans="2:12" ht="25.5" x14ac:dyDescent="0.25">
      <c r="B1088" s="421" t="s">
        <v>7</v>
      </c>
      <c r="C1088" s="368" t="s">
        <v>1023</v>
      </c>
      <c r="D1088" s="421" t="s">
        <v>124</v>
      </c>
      <c r="E1088" s="421" t="s">
        <v>1024</v>
      </c>
      <c r="F1088" s="518" t="s">
        <v>215</v>
      </c>
      <c r="G1088" s="518"/>
      <c r="H1088" s="369" t="s">
        <v>22</v>
      </c>
      <c r="I1088" s="370">
        <v>1</v>
      </c>
      <c r="J1088" s="371"/>
      <c r="K1088" s="371">
        <v>114.33</v>
      </c>
      <c r="L1088" s="371">
        <f>SUM(L1089:L1092)</f>
        <v>114.33</v>
      </c>
    </row>
    <row r="1089" spans="2:12" ht="38.25" x14ac:dyDescent="0.25">
      <c r="B1089" s="422" t="s">
        <v>187</v>
      </c>
      <c r="C1089" s="372" t="s">
        <v>218</v>
      </c>
      <c r="D1089" s="422" t="s">
        <v>31</v>
      </c>
      <c r="E1089" s="422" t="s">
        <v>219</v>
      </c>
      <c r="F1089" s="519" t="s">
        <v>186</v>
      </c>
      <c r="G1089" s="519"/>
      <c r="H1089" s="373" t="s">
        <v>32</v>
      </c>
      <c r="I1089" s="374">
        <v>0.1</v>
      </c>
      <c r="J1089" s="374"/>
      <c r="K1089" s="375">
        <v>22.58</v>
      </c>
      <c r="L1089" s="375">
        <f>TRUNC(K1089*I1089,2)</f>
        <v>2.25</v>
      </c>
    </row>
    <row r="1090" spans="2:12" ht="38.25" x14ac:dyDescent="0.25">
      <c r="B1090" s="422" t="s">
        <v>187</v>
      </c>
      <c r="C1090" s="372" t="s">
        <v>216</v>
      </c>
      <c r="D1090" s="422" t="s">
        <v>31</v>
      </c>
      <c r="E1090" s="422" t="s">
        <v>217</v>
      </c>
      <c r="F1090" s="519" t="s">
        <v>186</v>
      </c>
      <c r="G1090" s="519"/>
      <c r="H1090" s="373" t="s">
        <v>32</v>
      </c>
      <c r="I1090" s="374">
        <v>0.1</v>
      </c>
      <c r="J1090" s="374"/>
      <c r="K1090" s="375">
        <v>18.48</v>
      </c>
      <c r="L1090" s="375">
        <f>TRUNC(K1090*I1090,2)</f>
        <v>1.84</v>
      </c>
    </row>
    <row r="1091" spans="2:12" x14ac:dyDescent="0.25">
      <c r="B1091" s="423" t="s">
        <v>188</v>
      </c>
      <c r="C1091" s="376" t="s">
        <v>1187</v>
      </c>
      <c r="D1091" s="423" t="s">
        <v>124</v>
      </c>
      <c r="E1091" s="423" t="s">
        <v>1188</v>
      </c>
      <c r="F1091" s="515" t="s">
        <v>198</v>
      </c>
      <c r="G1091" s="515"/>
      <c r="H1091" s="377" t="s">
        <v>22</v>
      </c>
      <c r="I1091" s="378">
        <v>1</v>
      </c>
      <c r="J1091" s="378"/>
      <c r="K1091" s="379">
        <v>110.24</v>
      </c>
      <c r="L1091" s="379">
        <f t="shared" ref="L1091" si="7">TRUNC(K1091*I1091,2)</f>
        <v>110.24</v>
      </c>
    </row>
    <row r="1092" spans="2:12" ht="15" x14ac:dyDescent="0.25">
      <c r="B1092" s="424"/>
      <c r="C1092" s="424"/>
      <c r="D1092" s="424"/>
      <c r="E1092" s="424"/>
      <c r="F1092" s="424"/>
      <c r="G1092" s="380"/>
      <c r="H1092" s="424"/>
      <c r="I1092" s="380"/>
      <c r="J1092" s="424"/>
      <c r="K1092" s="380"/>
      <c r="L1092"/>
    </row>
    <row r="1093" spans="2:12" ht="15.75" thickBot="1" x14ac:dyDescent="0.3">
      <c r="B1093" s="424"/>
      <c r="C1093" s="424"/>
      <c r="D1093" s="424"/>
      <c r="E1093" s="424"/>
      <c r="F1093" s="424"/>
      <c r="G1093" s="380"/>
      <c r="H1093" s="424"/>
      <c r="I1093" s="516"/>
      <c r="J1093" s="516"/>
      <c r="K1093" s="380"/>
      <c r="L1093"/>
    </row>
    <row r="1094" spans="2:12" ht="13.5" thickTop="1" x14ac:dyDescent="0.25">
      <c r="B1094" s="381"/>
      <c r="C1094" s="381"/>
      <c r="D1094" s="381"/>
      <c r="E1094" s="381"/>
      <c r="F1094" s="381"/>
      <c r="G1094" s="381"/>
      <c r="H1094" s="381"/>
      <c r="I1094" s="381"/>
      <c r="J1094" s="381"/>
      <c r="K1094" s="381"/>
      <c r="L1094" s="381"/>
    </row>
    <row r="1095" spans="2:12" ht="15" x14ac:dyDescent="0.25">
      <c r="B1095" s="420" t="s">
        <v>1605</v>
      </c>
      <c r="C1095" s="366" t="s">
        <v>0</v>
      </c>
      <c r="D1095" s="420" t="s">
        <v>183</v>
      </c>
      <c r="E1095" s="420" t="s">
        <v>82</v>
      </c>
      <c r="F1095" s="517" t="s">
        <v>1</v>
      </c>
      <c r="G1095" s="517"/>
      <c r="H1095" s="367" t="s">
        <v>3</v>
      </c>
      <c r="I1095" s="366" t="s">
        <v>184</v>
      </c>
      <c r="J1095" s="366" t="s">
        <v>1426</v>
      </c>
      <c r="K1095" s="366" t="s">
        <v>185</v>
      </c>
      <c r="L1095" s="366" t="s">
        <v>4</v>
      </c>
    </row>
    <row r="1096" spans="2:12" ht="25.5" x14ac:dyDescent="0.25">
      <c r="B1096" s="421" t="s">
        <v>7</v>
      </c>
      <c r="C1096" s="368" t="s">
        <v>1025</v>
      </c>
      <c r="D1096" s="421" t="s">
        <v>874</v>
      </c>
      <c r="E1096" s="421" t="s">
        <v>1026</v>
      </c>
      <c r="F1096" s="518">
        <v>7</v>
      </c>
      <c r="G1096" s="518"/>
      <c r="H1096" s="369" t="s">
        <v>824</v>
      </c>
      <c r="I1096" s="370">
        <v>1</v>
      </c>
      <c r="J1096" s="371"/>
      <c r="K1096" s="371">
        <v>26.12</v>
      </c>
      <c r="L1096" s="371">
        <f>SUM(L1097:L1100)</f>
        <v>26.12</v>
      </c>
    </row>
    <row r="1097" spans="2:12" ht="25.5" x14ac:dyDescent="0.25">
      <c r="B1097" s="423" t="s">
        <v>188</v>
      </c>
      <c r="C1097" s="376" t="s">
        <v>1189</v>
      </c>
      <c r="D1097" s="423" t="s">
        <v>874</v>
      </c>
      <c r="E1097" s="423" t="s">
        <v>1190</v>
      </c>
      <c r="F1097" s="515" t="s">
        <v>198</v>
      </c>
      <c r="G1097" s="515"/>
      <c r="H1097" s="377" t="s">
        <v>225</v>
      </c>
      <c r="I1097" s="378">
        <v>1</v>
      </c>
      <c r="J1097" s="378"/>
      <c r="K1097" s="379">
        <v>22.12</v>
      </c>
      <c r="L1097" s="375">
        <f>TRUNC(K1097*I1097,2)</f>
        <v>22.12</v>
      </c>
    </row>
    <row r="1098" spans="2:12" ht="25.5" x14ac:dyDescent="0.25">
      <c r="B1098" s="423" t="s">
        <v>188</v>
      </c>
      <c r="C1098" s="376" t="s">
        <v>1101</v>
      </c>
      <c r="D1098" s="423" t="s">
        <v>874</v>
      </c>
      <c r="E1098" s="423" t="s">
        <v>1102</v>
      </c>
      <c r="F1098" s="515" t="s">
        <v>189</v>
      </c>
      <c r="G1098" s="515"/>
      <c r="H1098" s="377" t="s">
        <v>1099</v>
      </c>
      <c r="I1098" s="378">
        <v>0.13</v>
      </c>
      <c r="J1098" s="378"/>
      <c r="K1098" s="379">
        <v>12.31</v>
      </c>
      <c r="L1098" s="375">
        <f>TRUNC(K1098*I1098,2)</f>
        <v>1.6</v>
      </c>
    </row>
    <row r="1099" spans="2:12" ht="25.5" x14ac:dyDescent="0.25">
      <c r="B1099" s="423" t="s">
        <v>188</v>
      </c>
      <c r="C1099" s="376" t="s">
        <v>1103</v>
      </c>
      <c r="D1099" s="423" t="s">
        <v>874</v>
      </c>
      <c r="E1099" s="423" t="s">
        <v>223</v>
      </c>
      <c r="F1099" s="515" t="s">
        <v>189</v>
      </c>
      <c r="G1099" s="515"/>
      <c r="H1099" s="377" t="s">
        <v>1099</v>
      </c>
      <c r="I1099" s="378">
        <v>0.13</v>
      </c>
      <c r="J1099" s="378"/>
      <c r="K1099" s="379">
        <v>18.510000000000002</v>
      </c>
      <c r="L1099" s="379">
        <f t="shared" ref="L1099" si="8">TRUNC(K1099*I1099,2)</f>
        <v>2.4</v>
      </c>
    </row>
    <row r="1100" spans="2:12" ht="15" x14ac:dyDescent="0.25">
      <c r="B1100" s="424"/>
      <c r="C1100" s="424"/>
      <c r="D1100" s="424"/>
      <c r="E1100" s="424"/>
      <c r="F1100" s="424"/>
      <c r="G1100" s="380"/>
      <c r="H1100" s="424"/>
      <c r="I1100" s="380"/>
      <c r="J1100" s="424"/>
      <c r="K1100" s="380"/>
      <c r="L1100"/>
    </row>
    <row r="1101" spans="2:12" ht="15.75" thickBot="1" x14ac:dyDescent="0.3">
      <c r="B1101" s="424"/>
      <c r="C1101" s="424"/>
      <c r="D1101" s="424"/>
      <c r="E1101" s="424"/>
      <c r="F1101" s="424"/>
      <c r="G1101" s="380"/>
      <c r="H1101" s="424"/>
      <c r="I1101" s="516"/>
      <c r="J1101" s="516"/>
      <c r="K1101" s="380"/>
      <c r="L1101"/>
    </row>
    <row r="1102" spans="2:12" ht="13.5" thickTop="1" x14ac:dyDescent="0.25">
      <c r="B1102" s="381"/>
      <c r="C1102" s="381"/>
      <c r="D1102" s="381"/>
      <c r="E1102" s="381"/>
      <c r="F1102" s="381"/>
      <c r="G1102" s="381"/>
      <c r="H1102" s="381"/>
      <c r="I1102" s="381"/>
      <c r="J1102" s="381"/>
      <c r="K1102" s="381"/>
      <c r="L1102" s="381"/>
    </row>
    <row r="1103" spans="2:12" ht="15" x14ac:dyDescent="0.25">
      <c r="B1103" s="420" t="s">
        <v>1606</v>
      </c>
      <c r="C1103" s="366" t="s">
        <v>0</v>
      </c>
      <c r="D1103" s="420" t="s">
        <v>183</v>
      </c>
      <c r="E1103" s="420" t="s">
        <v>82</v>
      </c>
      <c r="F1103" s="517" t="s">
        <v>1</v>
      </c>
      <c r="G1103" s="517"/>
      <c r="H1103" s="367" t="s">
        <v>3</v>
      </c>
      <c r="I1103" s="366" t="s">
        <v>184</v>
      </c>
      <c r="J1103" s="366" t="s">
        <v>1426</v>
      </c>
      <c r="K1103" s="366" t="s">
        <v>185</v>
      </c>
      <c r="L1103" s="366" t="s">
        <v>4</v>
      </c>
    </row>
    <row r="1104" spans="2:12" ht="38.25" x14ac:dyDescent="0.25">
      <c r="B1104" s="421" t="s">
        <v>7</v>
      </c>
      <c r="C1104" s="368" t="s">
        <v>1027</v>
      </c>
      <c r="D1104" s="421" t="s">
        <v>264</v>
      </c>
      <c r="E1104" s="421" t="s">
        <v>1028</v>
      </c>
      <c r="F1104" s="518">
        <v>69.03</v>
      </c>
      <c r="G1104" s="518"/>
      <c r="H1104" s="369" t="s">
        <v>22</v>
      </c>
      <c r="I1104" s="370">
        <v>1</v>
      </c>
      <c r="J1104" s="371"/>
      <c r="K1104" s="371">
        <v>43.18</v>
      </c>
      <c r="L1104" s="371">
        <f>SUM(L1105:L1108)</f>
        <v>43.18</v>
      </c>
    </row>
    <row r="1105" spans="2:12" ht="38.25" x14ac:dyDescent="0.25">
      <c r="B1105" s="423" t="s">
        <v>188</v>
      </c>
      <c r="C1105" s="376" t="s">
        <v>1115</v>
      </c>
      <c r="D1105" s="423" t="s">
        <v>264</v>
      </c>
      <c r="E1105" s="423" t="s">
        <v>1116</v>
      </c>
      <c r="F1105" s="515" t="s">
        <v>189</v>
      </c>
      <c r="G1105" s="515"/>
      <c r="H1105" s="377" t="s">
        <v>32</v>
      </c>
      <c r="I1105" s="378">
        <v>0.15</v>
      </c>
      <c r="J1105" s="378"/>
      <c r="K1105" s="379">
        <v>25.22</v>
      </c>
      <c r="L1105" s="375">
        <f>TRUNC(K1105*I1105,2)</f>
        <v>3.78</v>
      </c>
    </row>
    <row r="1106" spans="2:12" ht="38.25" x14ac:dyDescent="0.25">
      <c r="B1106" s="423" t="s">
        <v>188</v>
      </c>
      <c r="C1106" s="376" t="s">
        <v>1117</v>
      </c>
      <c r="D1106" s="423" t="s">
        <v>264</v>
      </c>
      <c r="E1106" s="423" t="s">
        <v>1118</v>
      </c>
      <c r="F1106" s="515" t="s">
        <v>189</v>
      </c>
      <c r="G1106" s="515"/>
      <c r="H1106" s="377" t="s">
        <v>32</v>
      </c>
      <c r="I1106" s="378">
        <v>0.15</v>
      </c>
      <c r="J1106" s="378"/>
      <c r="K1106" s="379">
        <v>16.739999999999998</v>
      </c>
      <c r="L1106" s="375">
        <f>TRUNC(K1106*I1106,2)</f>
        <v>2.5099999999999998</v>
      </c>
    </row>
    <row r="1107" spans="2:12" ht="38.25" x14ac:dyDescent="0.25">
      <c r="B1107" s="423" t="s">
        <v>188</v>
      </c>
      <c r="C1107" s="376" t="s">
        <v>1191</v>
      </c>
      <c r="D1107" s="423" t="s">
        <v>264</v>
      </c>
      <c r="E1107" s="423" t="s">
        <v>1192</v>
      </c>
      <c r="F1107" s="515" t="s">
        <v>198</v>
      </c>
      <c r="G1107" s="515"/>
      <c r="H1107" s="377" t="s">
        <v>22</v>
      </c>
      <c r="I1107" s="378">
        <v>1</v>
      </c>
      <c r="J1107" s="378"/>
      <c r="K1107" s="379">
        <v>36.89</v>
      </c>
      <c r="L1107" s="379">
        <f t="shared" ref="L1107" si="9">TRUNC(K1107*I1107,2)</f>
        <v>36.89</v>
      </c>
    </row>
    <row r="1108" spans="2:12" ht="15" x14ac:dyDescent="0.25">
      <c r="B1108" s="424"/>
      <c r="C1108" s="424"/>
      <c r="D1108" s="424"/>
      <c r="E1108" s="424"/>
      <c r="F1108" s="424"/>
      <c r="G1108" s="380"/>
      <c r="H1108" s="424"/>
      <c r="I1108" s="380"/>
      <c r="J1108" s="424"/>
      <c r="K1108" s="380"/>
      <c r="L1108"/>
    </row>
    <row r="1109" spans="2:12" ht="15.75" thickBot="1" x14ac:dyDescent="0.3">
      <c r="B1109" s="424"/>
      <c r="C1109" s="424"/>
      <c r="D1109" s="424"/>
      <c r="E1109" s="424"/>
      <c r="F1109" s="424"/>
      <c r="G1109" s="380"/>
      <c r="H1109" s="424"/>
      <c r="I1109" s="516"/>
      <c r="J1109" s="516"/>
      <c r="K1109" s="380"/>
      <c r="L1109"/>
    </row>
    <row r="1110" spans="2:12" ht="13.5" thickTop="1" x14ac:dyDescent="0.25">
      <c r="B1110" s="381"/>
      <c r="C1110" s="381"/>
      <c r="D1110" s="381"/>
      <c r="E1110" s="381"/>
      <c r="F1110" s="381"/>
      <c r="G1110" s="381"/>
      <c r="H1110" s="381"/>
      <c r="I1110" s="381"/>
      <c r="J1110" s="381"/>
      <c r="K1110" s="381"/>
      <c r="L1110" s="381"/>
    </row>
    <row r="1111" spans="2:12" ht="15" x14ac:dyDescent="0.25">
      <c r="B1111" s="420" t="s">
        <v>1607</v>
      </c>
      <c r="C1111" s="366" t="s">
        <v>0</v>
      </c>
      <c r="D1111" s="420" t="s">
        <v>183</v>
      </c>
      <c r="E1111" s="420" t="s">
        <v>82</v>
      </c>
      <c r="F1111" s="517" t="s">
        <v>1</v>
      </c>
      <c r="G1111" s="517"/>
      <c r="H1111" s="367" t="s">
        <v>3</v>
      </c>
      <c r="I1111" s="366" t="s">
        <v>184</v>
      </c>
      <c r="J1111" s="366" t="s">
        <v>1426</v>
      </c>
      <c r="K1111" s="366" t="s">
        <v>185</v>
      </c>
      <c r="L1111" s="366" t="s">
        <v>4</v>
      </c>
    </row>
    <row r="1112" spans="2:12" ht="63.75" x14ac:dyDescent="0.25">
      <c r="B1112" s="421" t="s">
        <v>7</v>
      </c>
      <c r="C1112" s="368" t="s">
        <v>1261</v>
      </c>
      <c r="D1112" s="421" t="s">
        <v>124</v>
      </c>
      <c r="E1112" s="421" t="s">
        <v>1262</v>
      </c>
      <c r="F1112" s="518" t="s">
        <v>1305</v>
      </c>
      <c r="G1112" s="518"/>
      <c r="H1112" s="369" t="s">
        <v>22</v>
      </c>
      <c r="I1112" s="370">
        <v>1</v>
      </c>
      <c r="J1112" s="371"/>
      <c r="K1112" s="371">
        <v>10.1</v>
      </c>
      <c r="L1112" s="371">
        <f>SUM(L1113:L1116)</f>
        <v>10.1</v>
      </c>
    </row>
    <row r="1113" spans="2:12" ht="38.25" x14ac:dyDescent="0.25">
      <c r="B1113" s="422" t="s">
        <v>187</v>
      </c>
      <c r="C1113" s="372" t="s">
        <v>218</v>
      </c>
      <c r="D1113" s="422" t="s">
        <v>31</v>
      </c>
      <c r="E1113" s="422" t="s">
        <v>219</v>
      </c>
      <c r="F1113" s="519" t="s">
        <v>186</v>
      </c>
      <c r="G1113" s="519"/>
      <c r="H1113" s="373" t="s">
        <v>32</v>
      </c>
      <c r="I1113" s="374">
        <v>0.1</v>
      </c>
      <c r="J1113" s="374"/>
      <c r="K1113" s="375">
        <v>22.58</v>
      </c>
      <c r="L1113" s="375">
        <f>TRUNC(K1113*I1113,2)</f>
        <v>2.25</v>
      </c>
    </row>
    <row r="1114" spans="2:12" ht="38.25" x14ac:dyDescent="0.25">
      <c r="B1114" s="422" t="s">
        <v>187</v>
      </c>
      <c r="C1114" s="372" t="s">
        <v>216</v>
      </c>
      <c r="D1114" s="422" t="s">
        <v>31</v>
      </c>
      <c r="E1114" s="422" t="s">
        <v>217</v>
      </c>
      <c r="F1114" s="519" t="s">
        <v>186</v>
      </c>
      <c r="G1114" s="519"/>
      <c r="H1114" s="373" t="s">
        <v>32</v>
      </c>
      <c r="I1114" s="374">
        <v>0.1</v>
      </c>
      <c r="J1114" s="374"/>
      <c r="K1114" s="375">
        <v>18.48</v>
      </c>
      <c r="L1114" s="375">
        <f>TRUNC(K1114*I1114,2)</f>
        <v>1.84</v>
      </c>
    </row>
    <row r="1115" spans="2:12" ht="25.5" x14ac:dyDescent="0.25">
      <c r="B1115" s="423" t="s">
        <v>188</v>
      </c>
      <c r="C1115" s="376" t="s">
        <v>1306</v>
      </c>
      <c r="D1115" s="423" t="s">
        <v>849</v>
      </c>
      <c r="E1115" s="423" t="s">
        <v>1307</v>
      </c>
      <c r="F1115" s="515" t="s">
        <v>198</v>
      </c>
      <c r="G1115" s="515"/>
      <c r="H1115" s="377" t="s">
        <v>225</v>
      </c>
      <c r="I1115" s="378">
        <v>1</v>
      </c>
      <c r="J1115" s="378"/>
      <c r="K1115" s="379">
        <v>6.01</v>
      </c>
      <c r="L1115" s="379">
        <f t="shared" ref="L1115:L1116" si="10">TRUNC(K1115*I1115,2)</f>
        <v>6.01</v>
      </c>
    </row>
    <row r="1116" spans="2:12" x14ac:dyDescent="0.25">
      <c r="B1116" s="423" t="s">
        <v>188</v>
      </c>
      <c r="C1116" s="376" t="s">
        <v>1308</v>
      </c>
      <c r="D1116" s="423" t="s">
        <v>124</v>
      </c>
      <c r="E1116" s="423" t="s">
        <v>1309</v>
      </c>
      <c r="F1116" s="515" t="s">
        <v>198</v>
      </c>
      <c r="G1116" s="515"/>
      <c r="H1116" s="377" t="s">
        <v>22</v>
      </c>
      <c r="I1116" s="378">
        <v>0</v>
      </c>
      <c r="J1116" s="378"/>
      <c r="K1116" s="379">
        <v>1</v>
      </c>
      <c r="L1116" s="379">
        <f t="shared" si="10"/>
        <v>0</v>
      </c>
    </row>
    <row r="1117" spans="2:12" ht="15" x14ac:dyDescent="0.25">
      <c r="B1117" s="424"/>
      <c r="C1117" s="424"/>
      <c r="D1117" s="424"/>
      <c r="E1117" s="424"/>
      <c r="F1117" s="424"/>
      <c r="G1117" s="380"/>
      <c r="H1117" s="424"/>
      <c r="I1117" s="380"/>
      <c r="J1117" s="424"/>
      <c r="K1117" s="380"/>
      <c r="L1117"/>
    </row>
    <row r="1118" spans="2:12" ht="15.75" thickBot="1" x14ac:dyDescent="0.3">
      <c r="B1118" s="424"/>
      <c r="C1118" s="424"/>
      <c r="D1118" s="424"/>
      <c r="E1118" s="424"/>
      <c r="F1118" s="424"/>
      <c r="G1118" s="380"/>
      <c r="H1118" s="424"/>
      <c r="I1118" s="516"/>
      <c r="J1118" s="516"/>
      <c r="K1118" s="380"/>
      <c r="L1118"/>
    </row>
    <row r="1119" spans="2:12" ht="13.5" thickTop="1" x14ac:dyDescent="0.25">
      <c r="B1119" s="381"/>
      <c r="C1119" s="381"/>
      <c r="D1119" s="381"/>
      <c r="E1119" s="381"/>
      <c r="F1119" s="381"/>
      <c r="G1119" s="381"/>
      <c r="H1119" s="381"/>
      <c r="I1119" s="381"/>
      <c r="J1119" s="381"/>
      <c r="K1119" s="381"/>
      <c r="L1119" s="381"/>
    </row>
    <row r="1120" spans="2:12" ht="15" x14ac:dyDescent="0.25">
      <c r="B1120" s="420" t="s">
        <v>1608</v>
      </c>
      <c r="C1120" s="366" t="s">
        <v>0</v>
      </c>
      <c r="D1120" s="420" t="s">
        <v>183</v>
      </c>
      <c r="E1120" s="420" t="s">
        <v>82</v>
      </c>
      <c r="F1120" s="517" t="s">
        <v>1</v>
      </c>
      <c r="G1120" s="517"/>
      <c r="H1120" s="367" t="s">
        <v>3</v>
      </c>
      <c r="I1120" s="366" t="s">
        <v>184</v>
      </c>
      <c r="J1120" s="366" t="s">
        <v>1426</v>
      </c>
      <c r="K1120" s="366" t="s">
        <v>185</v>
      </c>
      <c r="L1120" s="366" t="s">
        <v>4</v>
      </c>
    </row>
    <row r="1121" spans="2:12" ht="51" x14ac:dyDescent="0.25">
      <c r="B1121" s="421" t="s">
        <v>7</v>
      </c>
      <c r="C1121" s="368" t="s">
        <v>1266</v>
      </c>
      <c r="D1121" s="421" t="s">
        <v>124</v>
      </c>
      <c r="E1121" s="421" t="s">
        <v>1267</v>
      </c>
      <c r="F1121" s="518" t="s">
        <v>1122</v>
      </c>
      <c r="G1121" s="518"/>
      <c r="H1121" s="369" t="s">
        <v>22</v>
      </c>
      <c r="I1121" s="370">
        <v>1</v>
      </c>
      <c r="J1121" s="371"/>
      <c r="K1121" s="371">
        <v>1014.1</v>
      </c>
      <c r="L1121" s="371">
        <f>SUM(L1122:L1123)</f>
        <v>1014.1</v>
      </c>
    </row>
    <row r="1122" spans="2:12" ht="38.25" x14ac:dyDescent="0.25">
      <c r="B1122" s="422" t="s">
        <v>187</v>
      </c>
      <c r="C1122" s="372" t="s">
        <v>218</v>
      </c>
      <c r="D1122" s="422" t="s">
        <v>31</v>
      </c>
      <c r="E1122" s="422" t="s">
        <v>219</v>
      </c>
      <c r="F1122" s="519" t="s">
        <v>186</v>
      </c>
      <c r="G1122" s="519"/>
      <c r="H1122" s="373" t="s">
        <v>32</v>
      </c>
      <c r="I1122" s="374">
        <v>1</v>
      </c>
      <c r="J1122" s="374"/>
      <c r="K1122" s="375">
        <v>22.58</v>
      </c>
      <c r="L1122" s="375">
        <f>TRUNC(K1122*I1122,2)</f>
        <v>22.58</v>
      </c>
    </row>
    <row r="1123" spans="2:12" ht="25.5" x14ac:dyDescent="0.25">
      <c r="B1123" s="423" t="s">
        <v>188</v>
      </c>
      <c r="C1123" s="376" t="s">
        <v>1312</v>
      </c>
      <c r="D1123" s="423" t="s">
        <v>1313</v>
      </c>
      <c r="E1123" s="423" t="s">
        <v>1314</v>
      </c>
      <c r="F1123" s="515" t="s">
        <v>198</v>
      </c>
      <c r="G1123" s="515"/>
      <c r="H1123" s="377" t="s">
        <v>22</v>
      </c>
      <c r="I1123" s="378">
        <v>2.14</v>
      </c>
      <c r="J1123" s="378"/>
      <c r="K1123" s="379">
        <v>463.33</v>
      </c>
      <c r="L1123" s="379">
        <f>TRUNC(K1123*I1123,2)</f>
        <v>991.52</v>
      </c>
    </row>
    <row r="1124" spans="2:12" ht="15" x14ac:dyDescent="0.25">
      <c r="B1124" s="424"/>
      <c r="C1124" s="424"/>
      <c r="D1124" s="424"/>
      <c r="E1124" s="424"/>
      <c r="F1124" s="424"/>
      <c r="G1124" s="380"/>
      <c r="H1124" s="424"/>
      <c r="I1124" s="380"/>
      <c r="J1124" s="424"/>
      <c r="K1124" s="380"/>
      <c r="L1124"/>
    </row>
    <row r="1125" spans="2:12" ht="15" x14ac:dyDescent="0.25">
      <c r="B1125" s="424"/>
      <c r="C1125" s="424"/>
      <c r="D1125" s="424"/>
      <c r="E1125" s="424"/>
      <c r="F1125" s="424"/>
      <c r="G1125" s="380"/>
      <c r="H1125" s="424"/>
      <c r="I1125" s="516"/>
      <c r="J1125" s="516"/>
      <c r="K1125" s="380"/>
      <c r="L1125"/>
    </row>
    <row r="1126" spans="2:12" ht="15" x14ac:dyDescent="0.25">
      <c r="B1126" s="420" t="s">
        <v>1416</v>
      </c>
      <c r="C1126" s="366" t="s">
        <v>0</v>
      </c>
      <c r="D1126" s="420" t="s">
        <v>183</v>
      </c>
      <c r="E1126" s="420" t="s">
        <v>82</v>
      </c>
      <c r="F1126" s="517" t="s">
        <v>1</v>
      </c>
      <c r="G1126" s="517"/>
      <c r="H1126" s="367" t="s">
        <v>3</v>
      </c>
      <c r="I1126" s="366" t="s">
        <v>184</v>
      </c>
      <c r="J1126" s="366" t="s">
        <v>1426</v>
      </c>
      <c r="K1126" s="366" t="s">
        <v>185</v>
      </c>
      <c r="L1126" s="366" t="s">
        <v>4</v>
      </c>
    </row>
    <row r="1127" spans="2:12" ht="25.5" x14ac:dyDescent="0.25">
      <c r="B1127" s="421" t="s">
        <v>7</v>
      </c>
      <c r="C1127" s="368" t="s">
        <v>841</v>
      </c>
      <c r="D1127" s="421" t="s">
        <v>842</v>
      </c>
      <c r="E1127" s="421" t="s">
        <v>843</v>
      </c>
      <c r="F1127" s="518" t="s">
        <v>1064</v>
      </c>
      <c r="G1127" s="518"/>
      <c r="H1127" s="369" t="s">
        <v>22</v>
      </c>
      <c r="I1127" s="370">
        <v>1</v>
      </c>
      <c r="J1127" s="371"/>
      <c r="K1127" s="371">
        <v>10.17</v>
      </c>
      <c r="L1127" s="371">
        <v>10.17</v>
      </c>
    </row>
    <row r="1128" spans="2:12" ht="25.5" x14ac:dyDescent="0.25">
      <c r="B1128" s="423" t="s">
        <v>188</v>
      </c>
      <c r="C1128" s="376" t="s">
        <v>1065</v>
      </c>
      <c r="D1128" s="423" t="s">
        <v>842</v>
      </c>
      <c r="E1128" s="423" t="s">
        <v>1066</v>
      </c>
      <c r="F1128" s="515" t="s">
        <v>189</v>
      </c>
      <c r="G1128" s="515"/>
      <c r="H1128" s="377" t="s">
        <v>32</v>
      </c>
      <c r="I1128" s="378">
        <v>0.13</v>
      </c>
      <c r="J1128" s="378"/>
      <c r="K1128" s="379">
        <v>15.53</v>
      </c>
      <c r="L1128" s="379">
        <v>2.0099999999999998</v>
      </c>
    </row>
    <row r="1129" spans="2:12" ht="25.5" x14ac:dyDescent="0.25">
      <c r="B1129" s="423" t="s">
        <v>188</v>
      </c>
      <c r="C1129" s="376" t="s">
        <v>1067</v>
      </c>
      <c r="D1129" s="423" t="s">
        <v>842</v>
      </c>
      <c r="E1129" s="423" t="s">
        <v>223</v>
      </c>
      <c r="F1129" s="515" t="s">
        <v>189</v>
      </c>
      <c r="G1129" s="515"/>
      <c r="H1129" s="377" t="s">
        <v>32</v>
      </c>
      <c r="I1129" s="378">
        <v>0.13</v>
      </c>
      <c r="J1129" s="378"/>
      <c r="K1129" s="379">
        <v>22.11</v>
      </c>
      <c r="L1129" s="379">
        <v>2.87</v>
      </c>
    </row>
    <row r="1130" spans="2:12" ht="25.5" x14ac:dyDescent="0.25">
      <c r="B1130" s="423" t="s">
        <v>188</v>
      </c>
      <c r="C1130" s="376" t="s">
        <v>1068</v>
      </c>
      <c r="D1130" s="423" t="s">
        <v>842</v>
      </c>
      <c r="E1130" s="423" t="s">
        <v>1069</v>
      </c>
      <c r="F1130" s="515" t="s">
        <v>198</v>
      </c>
      <c r="G1130" s="515"/>
      <c r="H1130" s="377" t="s">
        <v>22</v>
      </c>
      <c r="I1130" s="378">
        <v>1</v>
      </c>
      <c r="J1130" s="378"/>
      <c r="K1130" s="379">
        <v>1.48</v>
      </c>
      <c r="L1130" s="379">
        <v>1.48</v>
      </c>
    </row>
    <row r="1131" spans="2:12" ht="25.5" x14ac:dyDescent="0.25">
      <c r="B1131" s="423" t="s">
        <v>188</v>
      </c>
      <c r="C1131" s="376" t="s">
        <v>1070</v>
      </c>
      <c r="D1131" s="423" t="s">
        <v>842</v>
      </c>
      <c r="E1131" s="423" t="s">
        <v>1071</v>
      </c>
      <c r="F1131" s="515" t="s">
        <v>198</v>
      </c>
      <c r="G1131" s="515"/>
      <c r="H1131" s="377" t="s">
        <v>22</v>
      </c>
      <c r="I1131" s="378">
        <v>1</v>
      </c>
      <c r="J1131" s="378"/>
      <c r="K1131" s="379">
        <v>0.22</v>
      </c>
      <c r="L1131" s="379">
        <v>0.22</v>
      </c>
    </row>
    <row r="1132" spans="2:12" ht="25.5" x14ac:dyDescent="0.25">
      <c r="B1132" s="423" t="s">
        <v>188</v>
      </c>
      <c r="C1132" s="376" t="s">
        <v>1072</v>
      </c>
      <c r="D1132" s="423" t="s">
        <v>842</v>
      </c>
      <c r="E1132" s="423" t="s">
        <v>1073</v>
      </c>
      <c r="F1132" s="515" t="s">
        <v>198</v>
      </c>
      <c r="G1132" s="515"/>
      <c r="H1132" s="377" t="s">
        <v>22</v>
      </c>
      <c r="I1132" s="378">
        <v>1</v>
      </c>
      <c r="J1132" s="378"/>
      <c r="K1132" s="379">
        <v>3.52</v>
      </c>
      <c r="L1132" s="379">
        <v>3.52</v>
      </c>
    </row>
    <row r="1133" spans="2:12" ht="25.5" x14ac:dyDescent="0.25">
      <c r="B1133" s="423" t="s">
        <v>188</v>
      </c>
      <c r="C1133" s="376" t="s">
        <v>1074</v>
      </c>
      <c r="D1133" s="423" t="s">
        <v>842</v>
      </c>
      <c r="E1133" s="423" t="s">
        <v>1075</v>
      </c>
      <c r="F1133" s="515" t="s">
        <v>198</v>
      </c>
      <c r="G1133" s="515"/>
      <c r="H1133" s="377" t="s">
        <v>22</v>
      </c>
      <c r="I1133" s="378">
        <v>1</v>
      </c>
      <c r="J1133" s="378"/>
      <c r="K1133" s="379">
        <v>7.0000000000000007E-2</v>
      </c>
      <c r="L1133" s="379">
        <v>7.0000000000000007E-2</v>
      </c>
    </row>
    <row r="1134" spans="2:12" ht="15" x14ac:dyDescent="0.25">
      <c r="B1134" s="424"/>
      <c r="C1134" s="424"/>
      <c r="D1134" s="424"/>
      <c r="E1134" s="424"/>
      <c r="F1134" s="424"/>
      <c r="G1134" s="380"/>
      <c r="H1134" s="424"/>
      <c r="I1134" s="380"/>
      <c r="J1134" s="424"/>
      <c r="K1134" s="380"/>
      <c r="L1134"/>
    </row>
    <row r="1135" spans="2:12" ht="15.75" thickBot="1" x14ac:dyDescent="0.3">
      <c r="B1135" s="424"/>
      <c r="C1135" s="424"/>
      <c r="D1135" s="424"/>
      <c r="E1135" s="424"/>
      <c r="F1135" s="424"/>
      <c r="G1135" s="380"/>
      <c r="H1135" s="424"/>
      <c r="I1135" s="516"/>
      <c r="J1135" s="516"/>
      <c r="K1135" s="380"/>
      <c r="L1135"/>
    </row>
    <row r="1136" spans="2:12" ht="13.5" thickTop="1" x14ac:dyDescent="0.25">
      <c r="B1136" s="381"/>
      <c r="C1136" s="381"/>
      <c r="D1136" s="381"/>
      <c r="E1136" s="381"/>
      <c r="F1136" s="381"/>
      <c r="G1136" s="381"/>
      <c r="H1136" s="381"/>
      <c r="I1136" s="381"/>
      <c r="J1136" s="381"/>
      <c r="K1136" s="381"/>
      <c r="L1136" s="381"/>
    </row>
    <row r="1137" spans="2:12" ht="15" x14ac:dyDescent="0.25">
      <c r="B1137" s="420" t="s">
        <v>1035</v>
      </c>
      <c r="C1137" s="366" t="s">
        <v>0</v>
      </c>
      <c r="D1137" s="420" t="s">
        <v>183</v>
      </c>
      <c r="E1137" s="420" t="s">
        <v>82</v>
      </c>
      <c r="F1137" s="517" t="s">
        <v>1</v>
      </c>
      <c r="G1137" s="517"/>
      <c r="H1137" s="367" t="s">
        <v>3</v>
      </c>
      <c r="I1137" s="366" t="s">
        <v>184</v>
      </c>
      <c r="J1137" s="366" t="s">
        <v>1426</v>
      </c>
      <c r="K1137" s="366" t="s">
        <v>185</v>
      </c>
      <c r="L1137" s="366" t="s">
        <v>4</v>
      </c>
    </row>
    <row r="1138" spans="2:12" ht="25.5" x14ac:dyDescent="0.25">
      <c r="B1138" s="421" t="s">
        <v>7</v>
      </c>
      <c r="C1138" s="368" t="s">
        <v>1200</v>
      </c>
      <c r="D1138" s="421" t="s">
        <v>842</v>
      </c>
      <c r="E1138" s="421" t="s">
        <v>1201</v>
      </c>
      <c r="F1138" s="518" t="s">
        <v>1119</v>
      </c>
      <c r="G1138" s="518"/>
      <c r="H1138" s="369" t="s">
        <v>22</v>
      </c>
      <c r="I1138" s="370">
        <v>1</v>
      </c>
      <c r="J1138" s="371"/>
      <c r="K1138" s="371">
        <v>118.36</v>
      </c>
      <c r="L1138" s="371">
        <f>SUM(L1139:L1145)</f>
        <v>118.35999999999999</v>
      </c>
    </row>
    <row r="1139" spans="2:12" ht="25.5" x14ac:dyDescent="0.25">
      <c r="B1139" s="423" t="s">
        <v>188</v>
      </c>
      <c r="C1139" s="376" t="s">
        <v>1065</v>
      </c>
      <c r="D1139" s="423" t="s">
        <v>842</v>
      </c>
      <c r="E1139" s="423" t="s">
        <v>1066</v>
      </c>
      <c r="F1139" s="515" t="s">
        <v>189</v>
      </c>
      <c r="G1139" s="515"/>
      <c r="H1139" s="377" t="s">
        <v>32</v>
      </c>
      <c r="I1139" s="378">
        <v>0.13</v>
      </c>
      <c r="J1139" s="378"/>
      <c r="K1139" s="379">
        <v>15.53</v>
      </c>
      <c r="L1139" s="379">
        <f>TRUNC(K1139*I1139,2)</f>
        <v>2.0099999999999998</v>
      </c>
    </row>
    <row r="1140" spans="2:12" ht="25.5" x14ac:dyDescent="0.25">
      <c r="B1140" s="423" t="s">
        <v>188</v>
      </c>
      <c r="C1140" s="376" t="s">
        <v>1067</v>
      </c>
      <c r="D1140" s="423" t="s">
        <v>842</v>
      </c>
      <c r="E1140" s="423" t="s">
        <v>223</v>
      </c>
      <c r="F1140" s="515" t="s">
        <v>189</v>
      </c>
      <c r="G1140" s="515"/>
      <c r="H1140" s="377" t="s">
        <v>32</v>
      </c>
      <c r="I1140" s="378">
        <v>0.13</v>
      </c>
      <c r="J1140" s="378"/>
      <c r="K1140" s="379">
        <v>22.11</v>
      </c>
      <c r="L1140" s="379">
        <f t="shared" ref="L1140:L1145" si="11">ROUND(K1140*I1140,2)</f>
        <v>2.87</v>
      </c>
    </row>
    <row r="1141" spans="2:12" ht="25.5" x14ac:dyDescent="0.25">
      <c r="B1141" s="423" t="s">
        <v>188</v>
      </c>
      <c r="C1141" s="376" t="s">
        <v>1287</v>
      </c>
      <c r="D1141" s="423" t="s">
        <v>842</v>
      </c>
      <c r="E1141" s="423" t="s">
        <v>1288</v>
      </c>
      <c r="F1141" s="515" t="s">
        <v>198</v>
      </c>
      <c r="G1141" s="515"/>
      <c r="H1141" s="377" t="s">
        <v>22</v>
      </c>
      <c r="I1141" s="378">
        <v>1</v>
      </c>
      <c r="J1141" s="378"/>
      <c r="K1141" s="379">
        <v>73.5</v>
      </c>
      <c r="L1141" s="379">
        <f t="shared" si="11"/>
        <v>73.5</v>
      </c>
    </row>
    <row r="1142" spans="2:12" ht="25.5" x14ac:dyDescent="0.25">
      <c r="B1142" s="423" t="s">
        <v>188</v>
      </c>
      <c r="C1142" s="376" t="s">
        <v>1289</v>
      </c>
      <c r="D1142" s="423" t="s">
        <v>842</v>
      </c>
      <c r="E1142" s="423" t="s">
        <v>1290</v>
      </c>
      <c r="F1142" s="515" t="s">
        <v>198</v>
      </c>
      <c r="G1142" s="515"/>
      <c r="H1142" s="377" t="s">
        <v>22</v>
      </c>
      <c r="I1142" s="378">
        <v>1</v>
      </c>
      <c r="J1142" s="378"/>
      <c r="K1142" s="379">
        <v>37.5</v>
      </c>
      <c r="L1142" s="379">
        <f t="shared" si="11"/>
        <v>37.5</v>
      </c>
    </row>
    <row r="1143" spans="2:12" ht="25.5" x14ac:dyDescent="0.25">
      <c r="B1143" s="423" t="s">
        <v>188</v>
      </c>
      <c r="C1143" s="376" t="s">
        <v>1070</v>
      </c>
      <c r="D1143" s="423" t="s">
        <v>842</v>
      </c>
      <c r="E1143" s="423" t="s">
        <v>1071</v>
      </c>
      <c r="F1143" s="515" t="s">
        <v>198</v>
      </c>
      <c r="G1143" s="515"/>
      <c r="H1143" s="377" t="s">
        <v>22</v>
      </c>
      <c r="I1143" s="378">
        <v>4</v>
      </c>
      <c r="J1143" s="378"/>
      <c r="K1143" s="379">
        <v>0.22</v>
      </c>
      <c r="L1143" s="379">
        <f t="shared" si="11"/>
        <v>0.88</v>
      </c>
    </row>
    <row r="1144" spans="2:12" ht="25.5" x14ac:dyDescent="0.25">
      <c r="B1144" s="423" t="s">
        <v>188</v>
      </c>
      <c r="C1144" s="376" t="s">
        <v>1291</v>
      </c>
      <c r="D1144" s="423" t="s">
        <v>842</v>
      </c>
      <c r="E1144" s="423" t="s">
        <v>1292</v>
      </c>
      <c r="F1144" s="515" t="s">
        <v>198</v>
      </c>
      <c r="G1144" s="515"/>
      <c r="H1144" s="377" t="s">
        <v>22</v>
      </c>
      <c r="I1144" s="378">
        <v>4</v>
      </c>
      <c r="J1144" s="378"/>
      <c r="K1144" s="379">
        <v>0.33</v>
      </c>
      <c r="L1144" s="379">
        <f t="shared" si="11"/>
        <v>1.32</v>
      </c>
    </row>
    <row r="1145" spans="2:12" ht="25.5" x14ac:dyDescent="0.25">
      <c r="B1145" s="423" t="s">
        <v>188</v>
      </c>
      <c r="C1145" s="376" t="s">
        <v>1074</v>
      </c>
      <c r="D1145" s="423" t="s">
        <v>842</v>
      </c>
      <c r="E1145" s="423" t="s">
        <v>1075</v>
      </c>
      <c r="F1145" s="515" t="s">
        <v>198</v>
      </c>
      <c r="G1145" s="515"/>
      <c r="H1145" s="377" t="s">
        <v>22</v>
      </c>
      <c r="I1145" s="378">
        <v>4</v>
      </c>
      <c r="J1145" s="378"/>
      <c r="K1145" s="379">
        <v>7.0000000000000007E-2</v>
      </c>
      <c r="L1145" s="379">
        <f t="shared" si="11"/>
        <v>0.28000000000000003</v>
      </c>
    </row>
    <row r="1146" spans="2:12" ht="15" x14ac:dyDescent="0.25">
      <c r="B1146" s="424"/>
      <c r="C1146" s="424"/>
      <c r="D1146" s="424"/>
      <c r="E1146" s="424"/>
      <c r="F1146" s="424"/>
      <c r="G1146" s="380"/>
      <c r="H1146" s="424"/>
      <c r="I1146" s="380"/>
      <c r="J1146" s="424"/>
      <c r="K1146" s="380"/>
      <c r="L1146"/>
    </row>
    <row r="1147" spans="2:12" ht="15" x14ac:dyDescent="0.25">
      <c r="B1147" s="424"/>
      <c r="C1147" s="424"/>
      <c r="D1147" s="424"/>
      <c r="E1147" s="424"/>
      <c r="F1147" s="424"/>
      <c r="G1147" s="380"/>
      <c r="H1147" s="424"/>
      <c r="I1147" s="516"/>
      <c r="J1147" s="516"/>
      <c r="K1147" s="380"/>
      <c r="L1147"/>
    </row>
    <row r="1148" spans="2:12" ht="15" x14ac:dyDescent="0.25">
      <c r="B1148" s="420" t="s">
        <v>1611</v>
      </c>
      <c r="C1148" s="366" t="s">
        <v>0</v>
      </c>
      <c r="D1148" s="420" t="s">
        <v>183</v>
      </c>
      <c r="E1148" s="420" t="s">
        <v>82</v>
      </c>
      <c r="F1148" s="517" t="s">
        <v>1</v>
      </c>
      <c r="G1148" s="517"/>
      <c r="H1148" s="367" t="s">
        <v>3</v>
      </c>
      <c r="I1148" s="366" t="s">
        <v>184</v>
      </c>
      <c r="J1148" s="366" t="s">
        <v>1426</v>
      </c>
      <c r="K1148" s="366" t="s">
        <v>185</v>
      </c>
      <c r="L1148" s="366" t="s">
        <v>4</v>
      </c>
    </row>
    <row r="1149" spans="2:12" ht="25.5" x14ac:dyDescent="0.25">
      <c r="B1149" s="421" t="s">
        <v>7</v>
      </c>
      <c r="C1149" s="368" t="s">
        <v>1202</v>
      </c>
      <c r="D1149" s="421" t="s">
        <v>212</v>
      </c>
      <c r="E1149" s="421" t="s">
        <v>1203</v>
      </c>
      <c r="F1149" s="518" t="s">
        <v>1282</v>
      </c>
      <c r="G1149" s="518"/>
      <c r="H1149" s="369" t="s">
        <v>22</v>
      </c>
      <c r="I1149" s="370">
        <v>1</v>
      </c>
      <c r="J1149" s="371"/>
      <c r="K1149" s="371">
        <v>102.55</v>
      </c>
      <c r="L1149" s="371">
        <v>102.55</v>
      </c>
    </row>
    <row r="1150" spans="2:12" ht="38.25" x14ac:dyDescent="0.25">
      <c r="B1150" s="422" t="s">
        <v>187</v>
      </c>
      <c r="C1150" s="372" t="s">
        <v>216</v>
      </c>
      <c r="D1150" s="422" t="s">
        <v>31</v>
      </c>
      <c r="E1150" s="422" t="s">
        <v>217</v>
      </c>
      <c r="F1150" s="519" t="s">
        <v>186</v>
      </c>
      <c r="G1150" s="519"/>
      <c r="H1150" s="373" t="s">
        <v>32</v>
      </c>
      <c r="I1150" s="374">
        <v>0.42499999999999999</v>
      </c>
      <c r="J1150" s="374"/>
      <c r="K1150" s="375">
        <v>18.48</v>
      </c>
      <c r="L1150" s="375">
        <v>7.85</v>
      </c>
    </row>
    <row r="1151" spans="2:12" ht="38.25" x14ac:dyDescent="0.25">
      <c r="B1151" s="422" t="s">
        <v>187</v>
      </c>
      <c r="C1151" s="372" t="s">
        <v>218</v>
      </c>
      <c r="D1151" s="422" t="s">
        <v>31</v>
      </c>
      <c r="E1151" s="422" t="s">
        <v>219</v>
      </c>
      <c r="F1151" s="519" t="s">
        <v>186</v>
      </c>
      <c r="G1151" s="519"/>
      <c r="H1151" s="373" t="s">
        <v>32</v>
      </c>
      <c r="I1151" s="374">
        <v>0.42499999999999999</v>
      </c>
      <c r="J1151" s="374"/>
      <c r="K1151" s="375">
        <v>22.58</v>
      </c>
      <c r="L1151" s="375">
        <v>9.59</v>
      </c>
    </row>
    <row r="1152" spans="2:12" x14ac:dyDescent="0.25">
      <c r="B1152" s="423" t="s">
        <v>188</v>
      </c>
      <c r="C1152" s="376" t="s">
        <v>1609</v>
      </c>
      <c r="D1152" s="423" t="s">
        <v>212</v>
      </c>
      <c r="E1152" s="423" t="s">
        <v>1610</v>
      </c>
      <c r="F1152" s="515" t="s">
        <v>198</v>
      </c>
      <c r="G1152" s="515"/>
      <c r="H1152" s="377" t="s">
        <v>22</v>
      </c>
      <c r="I1152" s="378">
        <v>1</v>
      </c>
      <c r="J1152" s="378"/>
      <c r="K1152" s="379">
        <v>85.11</v>
      </c>
      <c r="L1152" s="379">
        <v>85.11</v>
      </c>
    </row>
    <row r="1153" spans="2:12" ht="15" x14ac:dyDescent="0.25">
      <c r="B1153" s="424"/>
      <c r="C1153" s="424"/>
      <c r="D1153" s="424"/>
      <c r="E1153" s="424"/>
      <c r="F1153" s="424"/>
      <c r="G1153" s="380"/>
      <c r="H1153" s="424"/>
      <c r="I1153" s="380"/>
      <c r="J1153" s="424"/>
      <c r="K1153" s="380"/>
      <c r="L1153"/>
    </row>
    <row r="1154" spans="2:12" ht="15.75" thickBot="1" x14ac:dyDescent="0.3">
      <c r="B1154" s="424"/>
      <c r="C1154" s="424"/>
      <c r="D1154" s="424"/>
      <c r="E1154" s="424"/>
      <c r="F1154" s="424"/>
      <c r="G1154" s="380"/>
      <c r="H1154" s="424"/>
      <c r="I1154" s="516"/>
      <c r="J1154" s="516"/>
      <c r="K1154" s="380"/>
      <c r="L1154"/>
    </row>
    <row r="1155" spans="2:12" ht="13.5" thickTop="1" x14ac:dyDescent="0.25">
      <c r="B1155" s="381"/>
      <c r="C1155" s="381"/>
      <c r="D1155" s="381"/>
      <c r="E1155" s="381"/>
      <c r="F1155" s="381"/>
      <c r="G1155" s="381"/>
      <c r="H1155" s="381"/>
      <c r="I1155" s="381"/>
      <c r="J1155" s="381"/>
      <c r="K1155" s="381"/>
      <c r="L1155" s="381"/>
    </row>
    <row r="1156" spans="2:12" ht="15" x14ac:dyDescent="0.25">
      <c r="B1156" s="420" t="s">
        <v>1036</v>
      </c>
      <c r="C1156" s="366" t="s">
        <v>0</v>
      </c>
      <c r="D1156" s="420" t="s">
        <v>183</v>
      </c>
      <c r="E1156" s="420" t="s">
        <v>82</v>
      </c>
      <c r="F1156" s="517" t="s">
        <v>1</v>
      </c>
      <c r="G1156" s="517"/>
      <c r="H1156" s="367" t="s">
        <v>3</v>
      </c>
      <c r="I1156" s="366" t="s">
        <v>184</v>
      </c>
      <c r="J1156" s="366" t="s">
        <v>1426</v>
      </c>
      <c r="K1156" s="366" t="s">
        <v>185</v>
      </c>
      <c r="L1156" s="366" t="s">
        <v>4</v>
      </c>
    </row>
    <row r="1157" spans="2:12" ht="38.25" x14ac:dyDescent="0.25">
      <c r="B1157" s="421" t="s">
        <v>7</v>
      </c>
      <c r="C1157" s="368" t="s">
        <v>915</v>
      </c>
      <c r="D1157" s="421" t="s">
        <v>124</v>
      </c>
      <c r="E1157" s="421" t="s">
        <v>916</v>
      </c>
      <c r="F1157" s="518">
        <v>61</v>
      </c>
      <c r="G1157" s="518"/>
      <c r="H1157" s="369" t="s">
        <v>35</v>
      </c>
      <c r="I1157" s="370">
        <v>1</v>
      </c>
      <c r="J1157" s="371"/>
      <c r="K1157" s="371">
        <v>52.69</v>
      </c>
      <c r="L1157" s="371">
        <v>52.69</v>
      </c>
    </row>
    <row r="1158" spans="2:12" ht="38.25" x14ac:dyDescent="0.25">
      <c r="B1158" s="422" t="s">
        <v>187</v>
      </c>
      <c r="C1158" s="372" t="s">
        <v>218</v>
      </c>
      <c r="D1158" s="422" t="s">
        <v>31</v>
      </c>
      <c r="E1158" s="422" t="s">
        <v>219</v>
      </c>
      <c r="F1158" s="519" t="s">
        <v>186</v>
      </c>
      <c r="G1158" s="519"/>
      <c r="H1158" s="373" t="s">
        <v>32</v>
      </c>
      <c r="I1158" s="374">
        <v>0.49</v>
      </c>
      <c r="J1158" s="374"/>
      <c r="K1158" s="375">
        <v>22.58</v>
      </c>
      <c r="L1158" s="375">
        <v>11.06</v>
      </c>
    </row>
    <row r="1159" spans="2:12" ht="38.25" x14ac:dyDescent="0.25">
      <c r="B1159" s="422" t="s">
        <v>187</v>
      </c>
      <c r="C1159" s="372" t="s">
        <v>216</v>
      </c>
      <c r="D1159" s="422" t="s">
        <v>31</v>
      </c>
      <c r="E1159" s="422" t="s">
        <v>217</v>
      </c>
      <c r="F1159" s="519" t="s">
        <v>186</v>
      </c>
      <c r="G1159" s="519"/>
      <c r="H1159" s="373" t="s">
        <v>32</v>
      </c>
      <c r="I1159" s="374">
        <v>0.49</v>
      </c>
      <c r="J1159" s="374"/>
      <c r="K1159" s="375">
        <v>18.48</v>
      </c>
      <c r="L1159" s="375">
        <v>9.0500000000000007</v>
      </c>
    </row>
    <row r="1160" spans="2:12" x14ac:dyDescent="0.25">
      <c r="B1160" s="423" t="s">
        <v>188</v>
      </c>
      <c r="C1160" s="376" t="s">
        <v>800</v>
      </c>
      <c r="D1160" s="423" t="s">
        <v>212</v>
      </c>
      <c r="E1160" s="423" t="s">
        <v>801</v>
      </c>
      <c r="F1160" s="515" t="s">
        <v>198</v>
      </c>
      <c r="G1160" s="515"/>
      <c r="H1160" s="377" t="s">
        <v>35</v>
      </c>
      <c r="I1160" s="378">
        <v>1.1000000000000001</v>
      </c>
      <c r="J1160" s="378"/>
      <c r="K1160" s="379">
        <v>18.02</v>
      </c>
      <c r="L1160" s="379">
        <v>19.82</v>
      </c>
    </row>
    <row r="1161" spans="2:12" ht="25.5" x14ac:dyDescent="0.25">
      <c r="B1161" s="423" t="s">
        <v>188</v>
      </c>
      <c r="C1161" s="376" t="s">
        <v>1120</v>
      </c>
      <c r="D1161" s="423" t="s">
        <v>842</v>
      </c>
      <c r="E1161" s="423" t="s">
        <v>1121</v>
      </c>
      <c r="F1161" s="515" t="s">
        <v>198</v>
      </c>
      <c r="G1161" s="515"/>
      <c r="H1161" s="377" t="s">
        <v>35</v>
      </c>
      <c r="I1161" s="378">
        <v>1.1000000000000001</v>
      </c>
      <c r="J1161" s="378"/>
      <c r="K1161" s="379">
        <v>11.6</v>
      </c>
      <c r="L1161" s="379">
        <v>12.76</v>
      </c>
    </row>
    <row r="1162" spans="2:12" ht="15" x14ac:dyDescent="0.25">
      <c r="B1162" s="424"/>
      <c r="C1162" s="424"/>
      <c r="D1162" s="424"/>
      <c r="E1162" s="424"/>
      <c r="F1162" s="424"/>
      <c r="G1162" s="380"/>
      <c r="H1162" s="424"/>
      <c r="I1162" s="380"/>
      <c r="J1162" s="424"/>
      <c r="K1162" s="380"/>
      <c r="L1162"/>
    </row>
    <row r="1163" spans="2:12" ht="15.75" thickBot="1" x14ac:dyDescent="0.3">
      <c r="B1163" s="424"/>
      <c r="C1163" s="424"/>
      <c r="D1163" s="424"/>
      <c r="E1163" s="424"/>
      <c r="F1163" s="424"/>
      <c r="G1163" s="380"/>
      <c r="H1163" s="424"/>
      <c r="I1163" s="516"/>
      <c r="J1163" s="516"/>
      <c r="K1163" s="380"/>
      <c r="L1163"/>
    </row>
    <row r="1164" spans="2:12" ht="13.5" thickTop="1" x14ac:dyDescent="0.25">
      <c r="B1164" s="381"/>
      <c r="C1164" s="381"/>
      <c r="D1164" s="381"/>
      <c r="E1164" s="381"/>
      <c r="F1164" s="381"/>
      <c r="G1164" s="381"/>
      <c r="H1164" s="381"/>
      <c r="I1164" s="381"/>
      <c r="J1164" s="381"/>
      <c r="K1164" s="381"/>
      <c r="L1164" s="381"/>
    </row>
    <row r="1165" spans="2:12" ht="15" x14ac:dyDescent="0.25">
      <c r="B1165" s="420" t="s">
        <v>1037</v>
      </c>
      <c r="C1165" s="366" t="s">
        <v>0</v>
      </c>
      <c r="D1165" s="420" t="s">
        <v>183</v>
      </c>
      <c r="E1165" s="420" t="s">
        <v>82</v>
      </c>
      <c r="F1165" s="517" t="s">
        <v>1</v>
      </c>
      <c r="G1165" s="517"/>
      <c r="H1165" s="367" t="s">
        <v>3</v>
      </c>
      <c r="I1165" s="366" t="s">
        <v>184</v>
      </c>
      <c r="J1165" s="366" t="s">
        <v>1426</v>
      </c>
      <c r="K1165" s="366" t="s">
        <v>185</v>
      </c>
      <c r="L1165" s="366" t="s">
        <v>4</v>
      </c>
    </row>
    <row r="1166" spans="2:12" ht="25.5" x14ac:dyDescent="0.25">
      <c r="B1166" s="421" t="s">
        <v>7</v>
      </c>
      <c r="C1166" s="368" t="s">
        <v>918</v>
      </c>
      <c r="D1166" s="421" t="s">
        <v>124</v>
      </c>
      <c r="E1166" s="421" t="s">
        <v>919</v>
      </c>
      <c r="F1166" s="518" t="s">
        <v>1122</v>
      </c>
      <c r="G1166" s="518"/>
      <c r="H1166" s="369" t="s">
        <v>22</v>
      </c>
      <c r="I1166" s="370">
        <v>1</v>
      </c>
      <c r="J1166" s="371"/>
      <c r="K1166" s="371">
        <v>41.96</v>
      </c>
      <c r="L1166" s="371">
        <v>41.96</v>
      </c>
    </row>
    <row r="1167" spans="2:12" ht="38.25" x14ac:dyDescent="0.25">
      <c r="B1167" s="422" t="s">
        <v>187</v>
      </c>
      <c r="C1167" s="372" t="s">
        <v>216</v>
      </c>
      <c r="D1167" s="422" t="s">
        <v>31</v>
      </c>
      <c r="E1167" s="422" t="s">
        <v>217</v>
      </c>
      <c r="F1167" s="519" t="s">
        <v>186</v>
      </c>
      <c r="G1167" s="519"/>
      <c r="H1167" s="373" t="s">
        <v>32</v>
      </c>
      <c r="I1167" s="374">
        <v>0.1</v>
      </c>
      <c r="J1167" s="374"/>
      <c r="K1167" s="375">
        <v>18.48</v>
      </c>
      <c r="L1167" s="375">
        <v>1.84</v>
      </c>
    </row>
    <row r="1168" spans="2:12" ht="38.25" x14ac:dyDescent="0.25">
      <c r="B1168" s="422" t="s">
        <v>187</v>
      </c>
      <c r="C1168" s="372" t="s">
        <v>218</v>
      </c>
      <c r="D1168" s="422" t="s">
        <v>31</v>
      </c>
      <c r="E1168" s="422" t="s">
        <v>219</v>
      </c>
      <c r="F1168" s="519" t="s">
        <v>186</v>
      </c>
      <c r="G1168" s="519"/>
      <c r="H1168" s="373" t="s">
        <v>32</v>
      </c>
      <c r="I1168" s="374">
        <v>0.1</v>
      </c>
      <c r="J1168" s="374"/>
      <c r="K1168" s="375">
        <v>22.58</v>
      </c>
      <c r="L1168" s="375">
        <v>2.25</v>
      </c>
    </row>
    <row r="1169" spans="2:12" ht="38.25" x14ac:dyDescent="0.25">
      <c r="B1169" s="423" t="s">
        <v>188</v>
      </c>
      <c r="C1169" s="376" t="s">
        <v>1123</v>
      </c>
      <c r="D1169" s="423" t="s">
        <v>31</v>
      </c>
      <c r="E1169" s="423" t="s">
        <v>1124</v>
      </c>
      <c r="F1169" s="515" t="s">
        <v>198</v>
      </c>
      <c r="G1169" s="515"/>
      <c r="H1169" s="377" t="s">
        <v>22</v>
      </c>
      <c r="I1169" s="378">
        <v>4</v>
      </c>
      <c r="J1169" s="378"/>
      <c r="K1169" s="379">
        <v>0.16</v>
      </c>
      <c r="L1169" s="379">
        <v>0.64</v>
      </c>
    </row>
    <row r="1170" spans="2:12" x14ac:dyDescent="0.25">
      <c r="B1170" s="423" t="s">
        <v>188</v>
      </c>
      <c r="C1170" s="376" t="s">
        <v>1125</v>
      </c>
      <c r="D1170" s="423" t="s">
        <v>212</v>
      </c>
      <c r="E1170" s="423" t="s">
        <v>1126</v>
      </c>
      <c r="F1170" s="515" t="s">
        <v>198</v>
      </c>
      <c r="G1170" s="515"/>
      <c r="H1170" s="377" t="s">
        <v>22</v>
      </c>
      <c r="I1170" s="378">
        <v>4</v>
      </c>
      <c r="J1170" s="378"/>
      <c r="K1170" s="379">
        <v>1.1399999999999999</v>
      </c>
      <c r="L1170" s="379">
        <v>4.5599999999999996</v>
      </c>
    </row>
    <row r="1171" spans="2:12" ht="25.5" x14ac:dyDescent="0.25">
      <c r="B1171" s="423" t="s">
        <v>188</v>
      </c>
      <c r="C1171" s="376" t="s">
        <v>1127</v>
      </c>
      <c r="D1171" s="423" t="s">
        <v>874</v>
      </c>
      <c r="E1171" s="423" t="s">
        <v>1128</v>
      </c>
      <c r="F1171" s="515" t="s">
        <v>198</v>
      </c>
      <c r="G1171" s="515"/>
      <c r="H1171" s="377" t="s">
        <v>225</v>
      </c>
      <c r="I1171" s="378">
        <v>1</v>
      </c>
      <c r="J1171" s="378"/>
      <c r="K1171" s="379">
        <v>2.56</v>
      </c>
      <c r="L1171" s="379">
        <v>2.56</v>
      </c>
    </row>
    <row r="1172" spans="2:12" ht="38.25" x14ac:dyDescent="0.25">
      <c r="B1172" s="423" t="s">
        <v>188</v>
      </c>
      <c r="C1172" s="376" t="s">
        <v>1129</v>
      </c>
      <c r="D1172" s="423" t="s">
        <v>31</v>
      </c>
      <c r="E1172" s="423" t="s">
        <v>1130</v>
      </c>
      <c r="F1172" s="515" t="s">
        <v>198</v>
      </c>
      <c r="G1172" s="515"/>
      <c r="H1172" s="377" t="s">
        <v>22</v>
      </c>
      <c r="I1172" s="378">
        <v>2</v>
      </c>
      <c r="J1172" s="378"/>
      <c r="K1172" s="379">
        <v>1.18</v>
      </c>
      <c r="L1172" s="379">
        <v>2.36</v>
      </c>
    </row>
    <row r="1173" spans="2:12" ht="38.25" x14ac:dyDescent="0.25">
      <c r="B1173" s="423" t="s">
        <v>188</v>
      </c>
      <c r="C1173" s="376" t="s">
        <v>1131</v>
      </c>
      <c r="D1173" s="423" t="s">
        <v>31</v>
      </c>
      <c r="E1173" s="423" t="s">
        <v>1132</v>
      </c>
      <c r="F1173" s="515" t="s">
        <v>198</v>
      </c>
      <c r="G1173" s="515"/>
      <c r="H1173" s="377" t="s">
        <v>22</v>
      </c>
      <c r="I1173" s="378">
        <v>2</v>
      </c>
      <c r="J1173" s="378"/>
      <c r="K1173" s="379">
        <v>0.24</v>
      </c>
      <c r="L1173" s="379">
        <v>0.48</v>
      </c>
    </row>
    <row r="1174" spans="2:12" ht="38.25" x14ac:dyDescent="0.25">
      <c r="B1174" s="423" t="s">
        <v>188</v>
      </c>
      <c r="C1174" s="376" t="s">
        <v>1133</v>
      </c>
      <c r="D1174" s="423" t="s">
        <v>31</v>
      </c>
      <c r="E1174" s="423" t="s">
        <v>1134</v>
      </c>
      <c r="F1174" s="515" t="s">
        <v>198</v>
      </c>
      <c r="G1174" s="515"/>
      <c r="H1174" s="377" t="s">
        <v>22</v>
      </c>
      <c r="I1174" s="378">
        <v>2</v>
      </c>
      <c r="J1174" s="378"/>
      <c r="K1174" s="379">
        <v>0.89</v>
      </c>
      <c r="L1174" s="379">
        <v>1.78</v>
      </c>
    </row>
    <row r="1175" spans="2:12" ht="25.5" x14ac:dyDescent="0.25">
      <c r="B1175" s="423" t="s">
        <v>188</v>
      </c>
      <c r="C1175" s="376" t="s">
        <v>1135</v>
      </c>
      <c r="D1175" s="423" t="s">
        <v>874</v>
      </c>
      <c r="E1175" s="423" t="s">
        <v>1136</v>
      </c>
      <c r="F1175" s="515" t="s">
        <v>198</v>
      </c>
      <c r="G1175" s="515"/>
      <c r="H1175" s="377" t="s">
        <v>851</v>
      </c>
      <c r="I1175" s="378">
        <v>0.5</v>
      </c>
      <c r="J1175" s="378"/>
      <c r="K1175" s="379">
        <v>3.18</v>
      </c>
      <c r="L1175" s="379">
        <v>1.59</v>
      </c>
    </row>
    <row r="1176" spans="2:12" ht="25.5" x14ac:dyDescent="0.25">
      <c r="B1176" s="423" t="s">
        <v>188</v>
      </c>
      <c r="C1176" s="376" t="s">
        <v>1137</v>
      </c>
      <c r="D1176" s="423" t="s">
        <v>175</v>
      </c>
      <c r="E1176" s="423" t="s">
        <v>1138</v>
      </c>
      <c r="F1176" s="515" t="s">
        <v>198</v>
      </c>
      <c r="G1176" s="515"/>
      <c r="H1176" s="377" t="s">
        <v>225</v>
      </c>
      <c r="I1176" s="378">
        <v>1</v>
      </c>
      <c r="J1176" s="378"/>
      <c r="K1176" s="379">
        <v>14.9</v>
      </c>
      <c r="L1176" s="379">
        <v>14.9</v>
      </c>
    </row>
    <row r="1177" spans="2:12" ht="25.5" x14ac:dyDescent="0.25">
      <c r="B1177" s="423" t="s">
        <v>188</v>
      </c>
      <c r="C1177" s="376" t="s">
        <v>1139</v>
      </c>
      <c r="D1177" s="423" t="s">
        <v>175</v>
      </c>
      <c r="E1177" s="423" t="s">
        <v>1140</v>
      </c>
      <c r="F1177" s="515" t="s">
        <v>198</v>
      </c>
      <c r="G1177" s="515"/>
      <c r="H1177" s="377" t="s">
        <v>225</v>
      </c>
      <c r="I1177" s="378">
        <v>1</v>
      </c>
      <c r="J1177" s="378"/>
      <c r="K1177" s="379">
        <v>9</v>
      </c>
      <c r="L1177" s="379">
        <v>9</v>
      </c>
    </row>
    <row r="1178" spans="2:12" ht="15" x14ac:dyDescent="0.25">
      <c r="B1178" s="424"/>
      <c r="C1178" s="424"/>
      <c r="D1178" s="424"/>
      <c r="E1178" s="424"/>
      <c r="F1178" s="424"/>
      <c r="G1178" s="380"/>
      <c r="H1178" s="424"/>
      <c r="I1178" s="380"/>
      <c r="J1178" s="424"/>
      <c r="K1178" s="380"/>
      <c r="L1178"/>
    </row>
    <row r="1179" spans="2:12" ht="15.75" thickBot="1" x14ac:dyDescent="0.3">
      <c r="B1179" s="424"/>
      <c r="C1179" s="424"/>
      <c r="D1179" s="424"/>
      <c r="E1179" s="424"/>
      <c r="F1179" s="424"/>
      <c r="G1179" s="380"/>
      <c r="H1179" s="424"/>
      <c r="I1179" s="516"/>
      <c r="J1179" s="516"/>
      <c r="K1179" s="380"/>
      <c r="L1179"/>
    </row>
    <row r="1180" spans="2:12" ht="13.5" thickTop="1" x14ac:dyDescent="0.25">
      <c r="B1180" s="381"/>
      <c r="C1180" s="381"/>
      <c r="D1180" s="381"/>
      <c r="E1180" s="381"/>
      <c r="F1180" s="381"/>
      <c r="G1180" s="381"/>
      <c r="H1180" s="381"/>
      <c r="I1180" s="381"/>
      <c r="J1180" s="381"/>
      <c r="K1180" s="381"/>
      <c r="L1180" s="381"/>
    </row>
    <row r="1181" spans="2:12" ht="15" x14ac:dyDescent="0.25">
      <c r="B1181" s="420" t="s">
        <v>1038</v>
      </c>
      <c r="C1181" s="366" t="s">
        <v>0</v>
      </c>
      <c r="D1181" s="420" t="s">
        <v>183</v>
      </c>
      <c r="E1181" s="420" t="s">
        <v>82</v>
      </c>
      <c r="F1181" s="517" t="s">
        <v>1</v>
      </c>
      <c r="G1181" s="517"/>
      <c r="H1181" s="367" t="s">
        <v>3</v>
      </c>
      <c r="I1181" s="366" t="s">
        <v>184</v>
      </c>
      <c r="J1181" s="366" t="s">
        <v>1426</v>
      </c>
      <c r="K1181" s="366" t="s">
        <v>185</v>
      </c>
      <c r="L1181" s="366" t="s">
        <v>4</v>
      </c>
    </row>
    <row r="1182" spans="2:12" ht="25.5" x14ac:dyDescent="0.25">
      <c r="B1182" s="421" t="s">
        <v>7</v>
      </c>
      <c r="C1182" s="368" t="s">
        <v>1204</v>
      </c>
      <c r="D1182" s="421" t="s">
        <v>124</v>
      </c>
      <c r="E1182" s="421" t="s">
        <v>1205</v>
      </c>
      <c r="F1182" s="518" t="s">
        <v>215</v>
      </c>
      <c r="G1182" s="518"/>
      <c r="H1182" s="369" t="s">
        <v>35</v>
      </c>
      <c r="I1182" s="370">
        <v>1</v>
      </c>
      <c r="J1182" s="371"/>
      <c r="K1182" s="371">
        <v>29.89</v>
      </c>
      <c r="L1182" s="371">
        <v>29.89</v>
      </c>
    </row>
    <row r="1183" spans="2:12" ht="38.25" x14ac:dyDescent="0.25">
      <c r="B1183" s="422" t="s">
        <v>187</v>
      </c>
      <c r="C1183" s="372" t="s">
        <v>216</v>
      </c>
      <c r="D1183" s="422" t="s">
        <v>31</v>
      </c>
      <c r="E1183" s="422" t="s">
        <v>217</v>
      </c>
      <c r="F1183" s="519" t="s">
        <v>186</v>
      </c>
      <c r="G1183" s="519"/>
      <c r="H1183" s="373" t="s">
        <v>32</v>
      </c>
      <c r="I1183" s="374">
        <v>0.112</v>
      </c>
      <c r="J1183" s="374"/>
      <c r="K1183" s="375">
        <v>18.48</v>
      </c>
      <c r="L1183" s="375">
        <v>2.06</v>
      </c>
    </row>
    <row r="1184" spans="2:12" ht="38.25" x14ac:dyDescent="0.25">
      <c r="B1184" s="422" t="s">
        <v>187</v>
      </c>
      <c r="C1184" s="372" t="s">
        <v>218</v>
      </c>
      <c r="D1184" s="422" t="s">
        <v>31</v>
      </c>
      <c r="E1184" s="422" t="s">
        <v>219</v>
      </c>
      <c r="F1184" s="519" t="s">
        <v>186</v>
      </c>
      <c r="G1184" s="519"/>
      <c r="H1184" s="373" t="s">
        <v>32</v>
      </c>
      <c r="I1184" s="374">
        <v>0.112</v>
      </c>
      <c r="J1184" s="374"/>
      <c r="K1184" s="375">
        <v>22.58</v>
      </c>
      <c r="L1184" s="375">
        <v>2.52</v>
      </c>
    </row>
    <row r="1185" spans="2:12" x14ac:dyDescent="0.25">
      <c r="B1185" s="423" t="s">
        <v>188</v>
      </c>
      <c r="C1185" s="376" t="s">
        <v>1293</v>
      </c>
      <c r="D1185" s="423" t="s">
        <v>124</v>
      </c>
      <c r="E1185" s="423" t="s">
        <v>1294</v>
      </c>
      <c r="F1185" s="515" t="s">
        <v>198</v>
      </c>
      <c r="G1185" s="515"/>
      <c r="H1185" s="377" t="s">
        <v>22</v>
      </c>
      <c r="I1185" s="378">
        <v>1</v>
      </c>
      <c r="J1185" s="378"/>
      <c r="K1185" s="379">
        <v>25.31</v>
      </c>
      <c r="L1185" s="379">
        <v>25.31</v>
      </c>
    </row>
    <row r="1186" spans="2:12" ht="15" x14ac:dyDescent="0.25">
      <c r="B1186" s="424"/>
      <c r="C1186" s="424"/>
      <c r="D1186" s="424"/>
      <c r="E1186" s="424"/>
      <c r="F1186" s="424"/>
      <c r="G1186" s="380"/>
      <c r="H1186" s="424"/>
      <c r="I1186" s="380"/>
      <c r="J1186" s="424"/>
      <c r="K1186" s="380"/>
      <c r="L1186"/>
    </row>
    <row r="1187" spans="2:12" ht="15.75" thickBot="1" x14ac:dyDescent="0.3">
      <c r="B1187" s="424"/>
      <c r="C1187" s="424"/>
      <c r="D1187" s="424"/>
      <c r="E1187" s="424"/>
      <c r="F1187" s="424"/>
      <c r="G1187" s="380"/>
      <c r="H1187" s="424"/>
      <c r="I1187" s="516"/>
      <c r="J1187" s="516"/>
      <c r="K1187" s="380"/>
      <c r="L1187"/>
    </row>
    <row r="1188" spans="2:12" ht="13.5" thickTop="1" x14ac:dyDescent="0.25">
      <c r="B1188" s="381"/>
      <c r="C1188" s="381"/>
      <c r="D1188" s="381"/>
      <c r="E1188" s="381"/>
      <c r="F1188" s="381"/>
      <c r="G1188" s="381"/>
      <c r="H1188" s="381"/>
      <c r="I1188" s="381"/>
      <c r="J1188" s="381"/>
      <c r="K1188" s="381"/>
      <c r="L1188" s="381"/>
    </row>
    <row r="1189" spans="2:12" ht="15" x14ac:dyDescent="0.25">
      <c r="B1189" s="420" t="s">
        <v>1532</v>
      </c>
      <c r="C1189" s="366" t="s">
        <v>0</v>
      </c>
      <c r="D1189" s="420" t="s">
        <v>183</v>
      </c>
      <c r="E1189" s="420" t="s">
        <v>82</v>
      </c>
      <c r="F1189" s="517" t="s">
        <v>1</v>
      </c>
      <c r="G1189" s="517"/>
      <c r="H1189" s="367" t="s">
        <v>3</v>
      </c>
      <c r="I1189" s="366" t="s">
        <v>184</v>
      </c>
      <c r="J1189" s="366" t="s">
        <v>1426</v>
      </c>
      <c r="K1189" s="366" t="s">
        <v>185</v>
      </c>
      <c r="L1189" s="366" t="s">
        <v>4</v>
      </c>
    </row>
    <row r="1190" spans="2:12" ht="25.5" x14ac:dyDescent="0.25">
      <c r="B1190" s="421" t="s">
        <v>7</v>
      </c>
      <c r="C1190" s="368" t="s">
        <v>748</v>
      </c>
      <c r="D1190" s="421" t="s">
        <v>124</v>
      </c>
      <c r="E1190" s="421" t="s">
        <v>493</v>
      </c>
      <c r="F1190" s="518" t="s">
        <v>215</v>
      </c>
      <c r="G1190" s="518"/>
      <c r="H1190" s="369" t="s">
        <v>225</v>
      </c>
      <c r="I1190" s="370">
        <v>1</v>
      </c>
      <c r="J1190" s="371"/>
      <c r="K1190" s="371">
        <v>6.02</v>
      </c>
      <c r="L1190" s="371">
        <v>6.02</v>
      </c>
    </row>
    <row r="1191" spans="2:12" ht="38.25" x14ac:dyDescent="0.25">
      <c r="B1191" s="422" t="s">
        <v>187</v>
      </c>
      <c r="C1191" s="372" t="s">
        <v>216</v>
      </c>
      <c r="D1191" s="422" t="s">
        <v>31</v>
      </c>
      <c r="E1191" s="422" t="s">
        <v>217</v>
      </c>
      <c r="F1191" s="519" t="s">
        <v>186</v>
      </c>
      <c r="G1191" s="519"/>
      <c r="H1191" s="373" t="s">
        <v>32</v>
      </c>
      <c r="I1191" s="374">
        <v>0.1</v>
      </c>
      <c r="J1191" s="374"/>
      <c r="K1191" s="375">
        <v>18.48</v>
      </c>
      <c r="L1191" s="375">
        <v>1.84</v>
      </c>
    </row>
    <row r="1192" spans="2:12" ht="38.25" x14ac:dyDescent="0.25">
      <c r="B1192" s="422" t="s">
        <v>187</v>
      </c>
      <c r="C1192" s="372" t="s">
        <v>218</v>
      </c>
      <c r="D1192" s="422" t="s">
        <v>31</v>
      </c>
      <c r="E1192" s="422" t="s">
        <v>219</v>
      </c>
      <c r="F1192" s="519" t="s">
        <v>186</v>
      </c>
      <c r="G1192" s="519"/>
      <c r="H1192" s="373" t="s">
        <v>32</v>
      </c>
      <c r="I1192" s="374">
        <v>0.1</v>
      </c>
      <c r="J1192" s="374"/>
      <c r="K1192" s="375">
        <v>22.58</v>
      </c>
      <c r="L1192" s="375">
        <v>2.25</v>
      </c>
    </row>
    <row r="1193" spans="2:12" x14ac:dyDescent="0.25">
      <c r="B1193" s="423" t="s">
        <v>188</v>
      </c>
      <c r="C1193" s="376" t="s">
        <v>808</v>
      </c>
      <c r="D1193" s="423" t="s">
        <v>175</v>
      </c>
      <c r="E1193" s="423" t="s">
        <v>809</v>
      </c>
      <c r="F1193" s="515" t="s">
        <v>198</v>
      </c>
      <c r="G1193" s="515"/>
      <c r="H1193" s="377" t="s">
        <v>225</v>
      </c>
      <c r="I1193" s="378">
        <v>1</v>
      </c>
      <c r="J1193" s="378"/>
      <c r="K1193" s="379">
        <v>1.93</v>
      </c>
      <c r="L1193" s="379">
        <v>1.93</v>
      </c>
    </row>
    <row r="1194" spans="2:12" ht="15" x14ac:dyDescent="0.25">
      <c r="B1194" s="424"/>
      <c r="C1194" s="424"/>
      <c r="D1194" s="424"/>
      <c r="E1194" s="424"/>
      <c r="F1194" s="424"/>
      <c r="G1194" s="380"/>
      <c r="H1194" s="424"/>
      <c r="I1194" s="380"/>
      <c r="J1194" s="424"/>
      <c r="K1194" s="380"/>
      <c r="L1194"/>
    </row>
    <row r="1195" spans="2:12" ht="15.75" thickBot="1" x14ac:dyDescent="0.3">
      <c r="B1195" s="424"/>
      <c r="C1195" s="424"/>
      <c r="D1195" s="424"/>
      <c r="E1195" s="424"/>
      <c r="F1195" s="424"/>
      <c r="G1195" s="380"/>
      <c r="H1195" s="424"/>
      <c r="I1195" s="516"/>
      <c r="J1195" s="516"/>
      <c r="K1195" s="380"/>
      <c r="L1195"/>
    </row>
    <row r="1196" spans="2:12" ht="13.5" thickTop="1" x14ac:dyDescent="0.25">
      <c r="B1196" s="381"/>
      <c r="C1196" s="381"/>
      <c r="D1196" s="381"/>
      <c r="E1196" s="381"/>
      <c r="F1196" s="381"/>
      <c r="G1196" s="381"/>
      <c r="H1196" s="381"/>
      <c r="I1196" s="381"/>
      <c r="J1196" s="381"/>
      <c r="K1196" s="381"/>
      <c r="L1196" s="381"/>
    </row>
    <row r="1197" spans="2:12" ht="15" x14ac:dyDescent="0.25">
      <c r="B1197" s="420" t="s">
        <v>1039</v>
      </c>
      <c r="C1197" s="366" t="s">
        <v>0</v>
      </c>
      <c r="D1197" s="420" t="s">
        <v>183</v>
      </c>
      <c r="E1197" s="420" t="s">
        <v>82</v>
      </c>
      <c r="F1197" s="517" t="s">
        <v>1</v>
      </c>
      <c r="G1197" s="517"/>
      <c r="H1197" s="367" t="s">
        <v>3</v>
      </c>
      <c r="I1197" s="366" t="s">
        <v>184</v>
      </c>
      <c r="J1197" s="366" t="s">
        <v>1426</v>
      </c>
      <c r="K1197" s="366" t="s">
        <v>185</v>
      </c>
      <c r="L1197" s="366" t="s">
        <v>4</v>
      </c>
    </row>
    <row r="1198" spans="2:12" ht="25.5" x14ac:dyDescent="0.25">
      <c r="B1198" s="421" t="s">
        <v>7</v>
      </c>
      <c r="C1198" s="368" t="s">
        <v>1206</v>
      </c>
      <c r="D1198" s="421" t="s">
        <v>175</v>
      </c>
      <c r="E1198" s="421" t="s">
        <v>1207</v>
      </c>
      <c r="F1198" s="518" t="s">
        <v>1095</v>
      </c>
      <c r="G1198" s="518"/>
      <c r="H1198" s="369" t="s">
        <v>225</v>
      </c>
      <c r="I1198" s="370">
        <v>1</v>
      </c>
      <c r="J1198" s="371"/>
      <c r="K1198" s="371">
        <v>14.94</v>
      </c>
      <c r="L1198" s="371">
        <v>14.94</v>
      </c>
    </row>
    <row r="1199" spans="2:12" ht="38.25" x14ac:dyDescent="0.25">
      <c r="B1199" s="422" t="s">
        <v>187</v>
      </c>
      <c r="C1199" s="372" t="s">
        <v>1096</v>
      </c>
      <c r="D1199" s="422" t="s">
        <v>175</v>
      </c>
      <c r="E1199" s="422" t="s">
        <v>1097</v>
      </c>
      <c r="F1199" s="519" t="s">
        <v>1098</v>
      </c>
      <c r="G1199" s="519"/>
      <c r="H1199" s="373" t="s">
        <v>1099</v>
      </c>
      <c r="I1199" s="374">
        <v>0.05</v>
      </c>
      <c r="J1199" s="374"/>
      <c r="K1199" s="375">
        <v>3.63</v>
      </c>
      <c r="L1199" s="375">
        <v>0.18</v>
      </c>
    </row>
    <row r="1200" spans="2:12" ht="38.25" x14ac:dyDescent="0.25">
      <c r="B1200" s="422" t="s">
        <v>187</v>
      </c>
      <c r="C1200" s="372" t="s">
        <v>1112</v>
      </c>
      <c r="D1200" s="422" t="s">
        <v>175</v>
      </c>
      <c r="E1200" s="422" t="s">
        <v>1113</v>
      </c>
      <c r="F1200" s="519" t="s">
        <v>1098</v>
      </c>
      <c r="G1200" s="519"/>
      <c r="H1200" s="373" t="s">
        <v>1099</v>
      </c>
      <c r="I1200" s="374">
        <v>0.05</v>
      </c>
      <c r="J1200" s="374"/>
      <c r="K1200" s="375">
        <v>3.51</v>
      </c>
      <c r="L1200" s="375">
        <v>0.17</v>
      </c>
    </row>
    <row r="1201" spans="2:12" ht="25.5" x14ac:dyDescent="0.25">
      <c r="B1201" s="423" t="s">
        <v>188</v>
      </c>
      <c r="C1201" s="376" t="s">
        <v>1295</v>
      </c>
      <c r="D1201" s="423" t="s">
        <v>175</v>
      </c>
      <c r="E1201" s="423" t="s">
        <v>1296</v>
      </c>
      <c r="F1201" s="515" t="s">
        <v>198</v>
      </c>
      <c r="G1201" s="515"/>
      <c r="H1201" s="377" t="s">
        <v>225</v>
      </c>
      <c r="I1201" s="378">
        <v>1</v>
      </c>
      <c r="J1201" s="378"/>
      <c r="K1201" s="379">
        <v>13.2</v>
      </c>
      <c r="L1201" s="379">
        <v>13.2</v>
      </c>
    </row>
    <row r="1202" spans="2:12" ht="38.25" x14ac:dyDescent="0.25">
      <c r="B1202" s="423" t="s">
        <v>188</v>
      </c>
      <c r="C1202" s="376" t="s">
        <v>222</v>
      </c>
      <c r="D1202" s="423" t="s">
        <v>31</v>
      </c>
      <c r="E1202" s="423" t="s">
        <v>1114</v>
      </c>
      <c r="F1202" s="515" t="s">
        <v>189</v>
      </c>
      <c r="G1202" s="515"/>
      <c r="H1202" s="377" t="s">
        <v>32</v>
      </c>
      <c r="I1202" s="378">
        <v>0.05</v>
      </c>
      <c r="J1202" s="378"/>
      <c r="K1202" s="379">
        <v>16.39</v>
      </c>
      <c r="L1202" s="379">
        <v>0.81</v>
      </c>
    </row>
    <row r="1203" spans="2:12" ht="38.25" x14ac:dyDescent="0.25">
      <c r="B1203" s="423" t="s">
        <v>188</v>
      </c>
      <c r="C1203" s="376" t="s">
        <v>173</v>
      </c>
      <c r="D1203" s="423" t="s">
        <v>31</v>
      </c>
      <c r="E1203" s="423" t="s">
        <v>47</v>
      </c>
      <c r="F1203" s="515" t="s">
        <v>189</v>
      </c>
      <c r="G1203" s="515"/>
      <c r="H1203" s="377" t="s">
        <v>32</v>
      </c>
      <c r="I1203" s="378">
        <v>0.05</v>
      </c>
      <c r="J1203" s="378"/>
      <c r="K1203" s="379">
        <v>11.67</v>
      </c>
      <c r="L1203" s="379">
        <v>0.57999999999999996</v>
      </c>
    </row>
    <row r="1204" spans="2:12" ht="15" x14ac:dyDescent="0.25">
      <c r="B1204" s="424"/>
      <c r="C1204" s="424"/>
      <c r="D1204" s="424"/>
      <c r="E1204" s="424"/>
      <c r="F1204" s="424"/>
      <c r="G1204" s="380"/>
      <c r="H1204" s="424"/>
      <c r="I1204" s="380"/>
      <c r="J1204" s="424"/>
      <c r="K1204" s="380"/>
      <c r="L1204"/>
    </row>
    <row r="1205" spans="2:12" ht="15.75" thickBot="1" x14ac:dyDescent="0.3">
      <c r="B1205" s="424"/>
      <c r="C1205" s="424"/>
      <c r="D1205" s="424"/>
      <c r="E1205" s="424"/>
      <c r="F1205" s="424"/>
      <c r="G1205" s="380"/>
      <c r="H1205" s="424"/>
      <c r="I1205" s="516"/>
      <c r="J1205" s="516"/>
      <c r="K1205" s="380"/>
      <c r="L1205"/>
    </row>
    <row r="1206" spans="2:12" ht="13.5" thickTop="1" x14ac:dyDescent="0.25">
      <c r="B1206" s="381"/>
      <c r="C1206" s="381"/>
      <c r="D1206" s="381"/>
      <c r="E1206" s="381"/>
      <c r="F1206" s="381"/>
      <c r="G1206" s="381"/>
      <c r="H1206" s="381"/>
      <c r="I1206" s="381"/>
      <c r="J1206" s="381"/>
      <c r="K1206" s="381"/>
      <c r="L1206" s="381"/>
    </row>
    <row r="1207" spans="2:12" ht="15" x14ac:dyDescent="0.25">
      <c r="B1207" s="420" t="s">
        <v>1040</v>
      </c>
      <c r="C1207" s="366" t="s">
        <v>0</v>
      </c>
      <c r="D1207" s="420" t="s">
        <v>183</v>
      </c>
      <c r="E1207" s="420" t="s">
        <v>82</v>
      </c>
      <c r="F1207" s="517" t="s">
        <v>1</v>
      </c>
      <c r="G1207" s="517"/>
      <c r="H1207" s="367" t="s">
        <v>3</v>
      </c>
      <c r="I1207" s="366" t="s">
        <v>184</v>
      </c>
      <c r="J1207" s="366" t="s">
        <v>1426</v>
      </c>
      <c r="K1207" s="366" t="s">
        <v>185</v>
      </c>
      <c r="L1207" s="366" t="s">
        <v>4</v>
      </c>
    </row>
    <row r="1208" spans="2:12" ht="38.25" x14ac:dyDescent="0.25">
      <c r="B1208" s="421" t="s">
        <v>7</v>
      </c>
      <c r="C1208" s="368" t="s">
        <v>1208</v>
      </c>
      <c r="D1208" s="421" t="s">
        <v>264</v>
      </c>
      <c r="E1208" s="421" t="s">
        <v>1209</v>
      </c>
      <c r="F1208" s="518">
        <v>38.22</v>
      </c>
      <c r="G1208" s="518"/>
      <c r="H1208" s="369" t="s">
        <v>35</v>
      </c>
      <c r="I1208" s="370">
        <v>1</v>
      </c>
      <c r="J1208" s="371"/>
      <c r="K1208" s="371">
        <v>52.67</v>
      </c>
      <c r="L1208" s="371">
        <v>52.67</v>
      </c>
    </row>
    <row r="1209" spans="2:12" ht="38.25" x14ac:dyDescent="0.25">
      <c r="B1209" s="423" t="s">
        <v>188</v>
      </c>
      <c r="C1209" s="376" t="s">
        <v>1115</v>
      </c>
      <c r="D1209" s="423" t="s">
        <v>264</v>
      </c>
      <c r="E1209" s="423" t="s">
        <v>1116</v>
      </c>
      <c r="F1209" s="515" t="s">
        <v>189</v>
      </c>
      <c r="G1209" s="515"/>
      <c r="H1209" s="377" t="s">
        <v>32</v>
      </c>
      <c r="I1209" s="378">
        <v>0.05</v>
      </c>
      <c r="J1209" s="378"/>
      <c r="K1209" s="379">
        <v>25.22</v>
      </c>
      <c r="L1209" s="379">
        <v>1.26</v>
      </c>
    </row>
    <row r="1210" spans="2:12" ht="38.25" x14ac:dyDescent="0.25">
      <c r="B1210" s="423" t="s">
        <v>188</v>
      </c>
      <c r="C1210" s="376" t="s">
        <v>1117</v>
      </c>
      <c r="D1210" s="423" t="s">
        <v>264</v>
      </c>
      <c r="E1210" s="423" t="s">
        <v>1118</v>
      </c>
      <c r="F1210" s="515" t="s">
        <v>189</v>
      </c>
      <c r="G1210" s="515"/>
      <c r="H1210" s="377" t="s">
        <v>32</v>
      </c>
      <c r="I1210" s="378">
        <v>0.05</v>
      </c>
      <c r="J1210" s="378"/>
      <c r="K1210" s="379">
        <v>16.739999999999998</v>
      </c>
      <c r="L1210" s="379">
        <v>0.83</v>
      </c>
    </row>
    <row r="1211" spans="2:12" ht="38.25" x14ac:dyDescent="0.25">
      <c r="B1211" s="423" t="s">
        <v>188</v>
      </c>
      <c r="C1211" s="376" t="s">
        <v>1297</v>
      </c>
      <c r="D1211" s="423" t="s">
        <v>264</v>
      </c>
      <c r="E1211" s="423" t="s">
        <v>1298</v>
      </c>
      <c r="F1211" s="515" t="s">
        <v>198</v>
      </c>
      <c r="G1211" s="515"/>
      <c r="H1211" s="377" t="s">
        <v>35</v>
      </c>
      <c r="I1211" s="378">
        <v>1.3</v>
      </c>
      <c r="J1211" s="378"/>
      <c r="K1211" s="379">
        <v>38.909999999999997</v>
      </c>
      <c r="L1211" s="379">
        <v>50.58</v>
      </c>
    </row>
    <row r="1212" spans="2:12" ht="15" x14ac:dyDescent="0.25">
      <c r="B1212" s="424"/>
      <c r="C1212" s="424"/>
      <c r="D1212" s="424"/>
      <c r="E1212" s="424"/>
      <c r="F1212" s="424"/>
      <c r="G1212" s="380"/>
      <c r="H1212" s="424"/>
      <c r="I1212" s="380"/>
      <c r="J1212" s="424"/>
      <c r="K1212" s="380"/>
      <c r="L1212"/>
    </row>
    <row r="1213" spans="2:12" ht="15.75" thickBot="1" x14ac:dyDescent="0.3">
      <c r="B1213" s="424"/>
      <c r="C1213" s="424"/>
      <c r="D1213" s="424"/>
      <c r="E1213" s="424"/>
      <c r="F1213" s="424"/>
      <c r="G1213" s="380"/>
      <c r="H1213" s="424"/>
      <c r="I1213" s="516"/>
      <c r="J1213" s="516"/>
      <c r="K1213" s="380"/>
      <c r="L1213"/>
    </row>
    <row r="1214" spans="2:12" ht="13.5" thickTop="1" x14ac:dyDescent="0.25">
      <c r="B1214" s="381"/>
      <c r="C1214" s="381"/>
      <c r="D1214" s="381"/>
      <c r="E1214" s="381"/>
      <c r="F1214" s="381"/>
      <c r="G1214" s="381"/>
      <c r="H1214" s="381"/>
      <c r="I1214" s="381"/>
      <c r="J1214" s="381"/>
      <c r="K1214" s="381"/>
      <c r="L1214" s="381"/>
    </row>
    <row r="1215" spans="2:12" ht="30" x14ac:dyDescent="0.25">
      <c r="B1215" s="420" t="s">
        <v>1041</v>
      </c>
      <c r="C1215" s="366" t="s">
        <v>0</v>
      </c>
      <c r="D1215" s="420" t="s">
        <v>183</v>
      </c>
      <c r="E1215" s="420" t="s">
        <v>82</v>
      </c>
      <c r="F1215" s="517" t="s">
        <v>1</v>
      </c>
      <c r="G1215" s="517"/>
      <c r="H1215" s="367" t="s">
        <v>3</v>
      </c>
      <c r="I1215" s="366" t="s">
        <v>184</v>
      </c>
      <c r="J1215" s="366" t="s">
        <v>1426</v>
      </c>
      <c r="K1215" s="366" t="s">
        <v>185</v>
      </c>
      <c r="L1215" s="366" t="s">
        <v>4</v>
      </c>
    </row>
    <row r="1216" spans="2:12" ht="25.5" x14ac:dyDescent="0.25">
      <c r="B1216" s="421" t="s">
        <v>7</v>
      </c>
      <c r="C1216" s="368" t="s">
        <v>1210</v>
      </c>
      <c r="D1216" s="421" t="s">
        <v>842</v>
      </c>
      <c r="E1216" s="421" t="s">
        <v>1211</v>
      </c>
      <c r="F1216" s="518" t="s">
        <v>1119</v>
      </c>
      <c r="G1216" s="518"/>
      <c r="H1216" s="369" t="s">
        <v>22</v>
      </c>
      <c r="I1216" s="370">
        <v>1</v>
      </c>
      <c r="J1216" s="371"/>
      <c r="K1216" s="371">
        <v>8.7899999999999991</v>
      </c>
      <c r="L1216" s="371">
        <v>8.7899999999999991</v>
      </c>
    </row>
    <row r="1217" spans="2:12" ht="25.5" x14ac:dyDescent="0.25">
      <c r="B1217" s="423" t="s">
        <v>188</v>
      </c>
      <c r="C1217" s="376" t="s">
        <v>1065</v>
      </c>
      <c r="D1217" s="423" t="s">
        <v>842</v>
      </c>
      <c r="E1217" s="423" t="s">
        <v>1066</v>
      </c>
      <c r="F1217" s="515" t="s">
        <v>189</v>
      </c>
      <c r="G1217" s="515"/>
      <c r="H1217" s="377" t="s">
        <v>32</v>
      </c>
      <c r="I1217" s="378">
        <v>0.1</v>
      </c>
      <c r="J1217" s="378"/>
      <c r="K1217" s="379">
        <v>15.53</v>
      </c>
      <c r="L1217" s="379">
        <v>1.55</v>
      </c>
    </row>
    <row r="1218" spans="2:12" ht="25.5" x14ac:dyDescent="0.25">
      <c r="B1218" s="423" t="s">
        <v>188</v>
      </c>
      <c r="C1218" s="376" t="s">
        <v>1067</v>
      </c>
      <c r="D1218" s="423" t="s">
        <v>842</v>
      </c>
      <c r="E1218" s="423" t="s">
        <v>223</v>
      </c>
      <c r="F1218" s="515" t="s">
        <v>189</v>
      </c>
      <c r="G1218" s="515"/>
      <c r="H1218" s="377" t="s">
        <v>32</v>
      </c>
      <c r="I1218" s="378">
        <v>0.1</v>
      </c>
      <c r="J1218" s="378"/>
      <c r="K1218" s="379">
        <v>22.11</v>
      </c>
      <c r="L1218" s="379">
        <v>2.21</v>
      </c>
    </row>
    <row r="1219" spans="2:12" ht="25.5" x14ac:dyDescent="0.25">
      <c r="B1219" s="423" t="s">
        <v>188</v>
      </c>
      <c r="C1219" s="376" t="s">
        <v>1070</v>
      </c>
      <c r="D1219" s="423" t="s">
        <v>842</v>
      </c>
      <c r="E1219" s="423" t="s">
        <v>1071</v>
      </c>
      <c r="F1219" s="515" t="s">
        <v>198</v>
      </c>
      <c r="G1219" s="515"/>
      <c r="H1219" s="377" t="s">
        <v>22</v>
      </c>
      <c r="I1219" s="378">
        <v>2</v>
      </c>
      <c r="J1219" s="378"/>
      <c r="K1219" s="379">
        <v>0.22</v>
      </c>
      <c r="L1219" s="379">
        <v>0.44</v>
      </c>
    </row>
    <row r="1220" spans="2:12" ht="25.5" x14ac:dyDescent="0.25">
      <c r="B1220" s="423" t="s">
        <v>188</v>
      </c>
      <c r="C1220" s="376" t="s">
        <v>1299</v>
      </c>
      <c r="D1220" s="423" t="s">
        <v>842</v>
      </c>
      <c r="E1220" s="423" t="s">
        <v>1300</v>
      </c>
      <c r="F1220" s="515" t="s">
        <v>198</v>
      </c>
      <c r="G1220" s="515"/>
      <c r="H1220" s="377" t="s">
        <v>22</v>
      </c>
      <c r="I1220" s="378">
        <v>1</v>
      </c>
      <c r="J1220" s="378"/>
      <c r="K1220" s="379">
        <v>3.79</v>
      </c>
      <c r="L1220" s="379">
        <v>3.79</v>
      </c>
    </row>
    <row r="1221" spans="2:12" ht="25.5" x14ac:dyDescent="0.25">
      <c r="B1221" s="423" t="s">
        <v>188</v>
      </c>
      <c r="C1221" s="376" t="s">
        <v>1291</v>
      </c>
      <c r="D1221" s="423" t="s">
        <v>842</v>
      </c>
      <c r="E1221" s="423" t="s">
        <v>1292</v>
      </c>
      <c r="F1221" s="515" t="s">
        <v>198</v>
      </c>
      <c r="G1221" s="515"/>
      <c r="H1221" s="377" t="s">
        <v>22</v>
      </c>
      <c r="I1221" s="378">
        <v>2</v>
      </c>
      <c r="J1221" s="378"/>
      <c r="K1221" s="379">
        <v>0.33</v>
      </c>
      <c r="L1221" s="379">
        <v>0.66</v>
      </c>
    </row>
    <row r="1222" spans="2:12" ht="25.5" x14ac:dyDescent="0.25">
      <c r="B1222" s="423" t="s">
        <v>188</v>
      </c>
      <c r="C1222" s="376" t="s">
        <v>1074</v>
      </c>
      <c r="D1222" s="423" t="s">
        <v>842</v>
      </c>
      <c r="E1222" s="423" t="s">
        <v>1075</v>
      </c>
      <c r="F1222" s="515" t="s">
        <v>198</v>
      </c>
      <c r="G1222" s="515"/>
      <c r="H1222" s="377" t="s">
        <v>22</v>
      </c>
      <c r="I1222" s="378">
        <v>2</v>
      </c>
      <c r="J1222" s="378"/>
      <c r="K1222" s="379">
        <v>7.0000000000000007E-2</v>
      </c>
      <c r="L1222" s="379">
        <v>0.14000000000000001</v>
      </c>
    </row>
    <row r="1223" spans="2:12" ht="15" x14ac:dyDescent="0.25">
      <c r="B1223" s="424"/>
      <c r="C1223" s="424"/>
      <c r="D1223" s="424"/>
      <c r="E1223" s="424"/>
      <c r="F1223" s="424"/>
      <c r="G1223" s="380"/>
      <c r="H1223" s="424"/>
      <c r="I1223" s="380"/>
      <c r="J1223" s="424"/>
      <c r="K1223" s="380"/>
      <c r="L1223"/>
    </row>
    <row r="1224" spans="2:12" ht="15.75" thickBot="1" x14ac:dyDescent="0.3">
      <c r="B1224" s="424"/>
      <c r="C1224" s="424"/>
      <c r="D1224" s="424"/>
      <c r="E1224" s="424"/>
      <c r="F1224" s="424"/>
      <c r="G1224" s="380"/>
      <c r="H1224" s="424"/>
      <c r="I1224" s="516"/>
      <c r="J1224" s="516"/>
      <c r="K1224" s="380"/>
      <c r="L1224"/>
    </row>
    <row r="1225" spans="2:12" ht="13.5" thickTop="1" x14ac:dyDescent="0.25">
      <c r="B1225" s="381"/>
      <c r="C1225" s="381"/>
      <c r="D1225" s="381"/>
      <c r="E1225" s="381"/>
      <c r="F1225" s="381"/>
      <c r="G1225" s="381"/>
      <c r="H1225" s="381"/>
      <c r="I1225" s="381"/>
      <c r="J1225" s="381"/>
      <c r="K1225" s="381"/>
      <c r="L1225" s="381"/>
    </row>
    <row r="1226" spans="2:12" ht="15" x14ac:dyDescent="0.25">
      <c r="B1226" s="420" t="s">
        <v>1043</v>
      </c>
      <c r="C1226" s="366" t="s">
        <v>0</v>
      </c>
      <c r="D1226" s="420" t="s">
        <v>183</v>
      </c>
      <c r="E1226" s="420" t="s">
        <v>82</v>
      </c>
      <c r="F1226" s="517" t="s">
        <v>1</v>
      </c>
      <c r="G1226" s="517"/>
      <c r="H1226" s="367" t="s">
        <v>3</v>
      </c>
      <c r="I1226" s="366" t="s">
        <v>184</v>
      </c>
      <c r="J1226" s="366" t="s">
        <v>1426</v>
      </c>
      <c r="K1226" s="366" t="s">
        <v>185</v>
      </c>
      <c r="L1226" s="366" t="s">
        <v>4</v>
      </c>
    </row>
    <row r="1227" spans="2:12" ht="25.5" x14ac:dyDescent="0.25">
      <c r="B1227" s="421" t="s">
        <v>7</v>
      </c>
      <c r="C1227" s="368" t="s">
        <v>766</v>
      </c>
      <c r="D1227" s="421" t="s">
        <v>212</v>
      </c>
      <c r="E1227" s="421" t="s">
        <v>767</v>
      </c>
      <c r="F1227" s="518" t="s">
        <v>1282</v>
      </c>
      <c r="G1227" s="518"/>
      <c r="H1227" s="369" t="s">
        <v>768</v>
      </c>
      <c r="I1227" s="370">
        <v>1</v>
      </c>
      <c r="J1227" s="371"/>
      <c r="K1227" s="371">
        <v>21</v>
      </c>
      <c r="L1227" s="371">
        <v>21</v>
      </c>
    </row>
    <row r="1228" spans="2:12" x14ac:dyDescent="0.25">
      <c r="B1228" s="423" t="s">
        <v>188</v>
      </c>
      <c r="C1228" s="376" t="s">
        <v>839</v>
      </c>
      <c r="D1228" s="423" t="s">
        <v>212</v>
      </c>
      <c r="E1228" s="423" t="s">
        <v>767</v>
      </c>
      <c r="F1228" s="515" t="s">
        <v>198</v>
      </c>
      <c r="G1228" s="515"/>
      <c r="H1228" s="377" t="s">
        <v>768</v>
      </c>
      <c r="I1228" s="378">
        <v>1</v>
      </c>
      <c r="J1228" s="378"/>
      <c r="K1228" s="379">
        <v>21</v>
      </c>
      <c r="L1228" s="379">
        <v>21</v>
      </c>
    </row>
    <row r="1229" spans="2:12" ht="15" x14ac:dyDescent="0.25">
      <c r="B1229" s="424"/>
      <c r="C1229" s="424"/>
      <c r="D1229" s="424"/>
      <c r="E1229" s="424"/>
      <c r="F1229" s="424"/>
      <c r="G1229" s="380"/>
      <c r="H1229" s="424"/>
      <c r="I1229" s="380"/>
      <c r="J1229" s="424"/>
      <c r="K1229" s="380"/>
      <c r="L1229"/>
    </row>
    <row r="1230" spans="2:12" ht="15.75" thickBot="1" x14ac:dyDescent="0.3">
      <c r="B1230" s="424"/>
      <c r="C1230" s="424"/>
      <c r="D1230" s="424"/>
      <c r="E1230" s="424"/>
      <c r="F1230" s="424"/>
      <c r="G1230" s="380"/>
      <c r="H1230" s="424"/>
      <c r="I1230" s="516"/>
      <c r="J1230" s="516"/>
      <c r="K1230" s="380"/>
      <c r="L1230"/>
    </row>
    <row r="1231" spans="2:12" ht="13.5" thickTop="1" x14ac:dyDescent="0.25">
      <c r="B1231" s="381"/>
      <c r="C1231" s="381"/>
      <c r="D1231" s="381"/>
      <c r="E1231" s="381"/>
      <c r="F1231" s="381"/>
      <c r="G1231" s="381"/>
      <c r="H1231" s="381"/>
      <c r="I1231" s="381"/>
      <c r="J1231" s="381"/>
      <c r="K1231" s="381"/>
      <c r="L1231" s="381"/>
    </row>
    <row r="1232" spans="2:12" ht="15" x14ac:dyDescent="0.25">
      <c r="B1232" s="420" t="s">
        <v>1047</v>
      </c>
      <c r="C1232" s="366" t="s">
        <v>0</v>
      </c>
      <c r="D1232" s="420" t="s">
        <v>183</v>
      </c>
      <c r="E1232" s="420" t="s">
        <v>82</v>
      </c>
      <c r="F1232" s="517" t="s">
        <v>1</v>
      </c>
      <c r="G1232" s="517"/>
      <c r="H1232" s="367" t="s">
        <v>3</v>
      </c>
      <c r="I1232" s="366" t="s">
        <v>184</v>
      </c>
      <c r="J1232" s="366" t="s">
        <v>1426</v>
      </c>
      <c r="K1232" s="366" t="s">
        <v>185</v>
      </c>
      <c r="L1232" s="366" t="s">
        <v>4</v>
      </c>
    </row>
    <row r="1233" spans="2:12" ht="25.5" x14ac:dyDescent="0.25">
      <c r="B1233" s="421" t="s">
        <v>7</v>
      </c>
      <c r="C1233" s="368" t="s">
        <v>1350</v>
      </c>
      <c r="D1233" s="421" t="s">
        <v>175</v>
      </c>
      <c r="E1233" s="421" t="s">
        <v>1351</v>
      </c>
      <c r="F1233" s="518" t="s">
        <v>1533</v>
      </c>
      <c r="G1233" s="518"/>
      <c r="H1233" s="369" t="s">
        <v>2</v>
      </c>
      <c r="I1233" s="370">
        <v>1</v>
      </c>
      <c r="J1233" s="371"/>
      <c r="K1233" s="371">
        <v>2.15</v>
      </c>
      <c r="L1233" s="371">
        <v>2.15</v>
      </c>
    </row>
    <row r="1234" spans="2:12" ht="38.25" x14ac:dyDescent="0.25">
      <c r="B1234" s="422" t="s">
        <v>187</v>
      </c>
      <c r="C1234" s="372" t="s">
        <v>1096</v>
      </c>
      <c r="D1234" s="422" t="s">
        <v>175</v>
      </c>
      <c r="E1234" s="422" t="s">
        <v>1097</v>
      </c>
      <c r="F1234" s="519" t="s">
        <v>1098</v>
      </c>
      <c r="G1234" s="519"/>
      <c r="H1234" s="373" t="s">
        <v>1099</v>
      </c>
      <c r="I1234" s="374">
        <v>0.1</v>
      </c>
      <c r="J1234" s="374"/>
      <c r="K1234" s="375">
        <v>3.63</v>
      </c>
      <c r="L1234" s="375">
        <v>0.36</v>
      </c>
    </row>
    <row r="1235" spans="2:12" x14ac:dyDescent="0.25">
      <c r="B1235" s="423" t="s">
        <v>188</v>
      </c>
      <c r="C1235" s="376" t="s">
        <v>1534</v>
      </c>
      <c r="D1235" s="423" t="s">
        <v>175</v>
      </c>
      <c r="E1235" s="423" t="s">
        <v>1535</v>
      </c>
      <c r="F1235" s="515" t="s">
        <v>198</v>
      </c>
      <c r="G1235" s="515"/>
      <c r="H1235" s="377" t="s">
        <v>1536</v>
      </c>
      <c r="I1235" s="378">
        <v>5.0000000000000001E-3</v>
      </c>
      <c r="J1235" s="378"/>
      <c r="K1235" s="379">
        <v>9.09</v>
      </c>
      <c r="L1235" s="379">
        <v>0.04</v>
      </c>
    </row>
    <row r="1236" spans="2:12" x14ac:dyDescent="0.25">
      <c r="B1236" s="423" t="s">
        <v>188</v>
      </c>
      <c r="C1236" s="376" t="s">
        <v>1537</v>
      </c>
      <c r="D1236" s="423" t="s">
        <v>175</v>
      </c>
      <c r="E1236" s="423" t="s">
        <v>1538</v>
      </c>
      <c r="F1236" s="515" t="s">
        <v>198</v>
      </c>
      <c r="G1236" s="515"/>
      <c r="H1236" s="377" t="s">
        <v>225</v>
      </c>
      <c r="I1236" s="378">
        <v>0.05</v>
      </c>
      <c r="J1236" s="378"/>
      <c r="K1236" s="379">
        <v>11.8</v>
      </c>
      <c r="L1236" s="379">
        <v>0.59</v>
      </c>
    </row>
    <row r="1237" spans="2:12" ht="38.25" x14ac:dyDescent="0.25">
      <c r="B1237" s="423" t="s">
        <v>188</v>
      </c>
      <c r="C1237" s="376" t="s">
        <v>173</v>
      </c>
      <c r="D1237" s="423" t="s">
        <v>31</v>
      </c>
      <c r="E1237" s="423" t="s">
        <v>47</v>
      </c>
      <c r="F1237" s="515" t="s">
        <v>189</v>
      </c>
      <c r="G1237" s="515"/>
      <c r="H1237" s="377" t="s">
        <v>32</v>
      </c>
      <c r="I1237" s="378">
        <v>0.1</v>
      </c>
      <c r="J1237" s="378"/>
      <c r="K1237" s="379">
        <v>11.67</v>
      </c>
      <c r="L1237" s="379">
        <v>1.1599999999999999</v>
      </c>
    </row>
  </sheetData>
  <mergeCells count="963">
    <mergeCell ref="F348:G348"/>
    <mergeCell ref="I350:J350"/>
    <mergeCell ref="F356:G356"/>
    <mergeCell ref="F385:G385"/>
    <mergeCell ref="F386:G386"/>
    <mergeCell ref="F364:G364"/>
    <mergeCell ref="F365:G365"/>
    <mergeCell ref="F366:G366"/>
    <mergeCell ref="F367:G367"/>
    <mergeCell ref="I369:J369"/>
    <mergeCell ref="F371:G371"/>
    <mergeCell ref="F372:G372"/>
    <mergeCell ref="I358:J358"/>
    <mergeCell ref="F354:G354"/>
    <mergeCell ref="F355:G355"/>
    <mergeCell ref="F359:G359"/>
    <mergeCell ref="F360:G360"/>
    <mergeCell ref="F361:G361"/>
    <mergeCell ref="F362:G362"/>
    <mergeCell ref="F363:G363"/>
    <mergeCell ref="F384:G384"/>
    <mergeCell ref="F370:G370"/>
    <mergeCell ref="F400:G400"/>
    <mergeCell ref="F404:G404"/>
    <mergeCell ref="I406:J406"/>
    <mergeCell ref="I422:J422"/>
    <mergeCell ref="F437:G437"/>
    <mergeCell ref="I439:J439"/>
    <mergeCell ref="I447:J447"/>
    <mergeCell ref="F408:G408"/>
    <mergeCell ref="F409:G409"/>
    <mergeCell ref="F410:G410"/>
    <mergeCell ref="I1224:J1224"/>
    <mergeCell ref="I1230:J1230"/>
    <mergeCell ref="F1207:G1207"/>
    <mergeCell ref="F1215:G1215"/>
    <mergeCell ref="F1222:G1222"/>
    <mergeCell ref="F1199:G1199"/>
    <mergeCell ref="F1216:G1216"/>
    <mergeCell ref="F1235:G1235"/>
    <mergeCell ref="F1233:G1233"/>
    <mergeCell ref="F1234:G1234"/>
    <mergeCell ref="F1226:G1226"/>
    <mergeCell ref="F1218:G1218"/>
    <mergeCell ref="F1208:G1208"/>
    <mergeCell ref="F1209:G1209"/>
    <mergeCell ref="F1217:G1217"/>
    <mergeCell ref="F1232:G1232"/>
    <mergeCell ref="I1205:J1205"/>
    <mergeCell ref="I1213:J1213"/>
    <mergeCell ref="F1227:G1227"/>
    <mergeCell ref="F1228:G1228"/>
    <mergeCell ref="F1220:G1220"/>
    <mergeCell ref="F1221:G1221"/>
    <mergeCell ref="F1210:G1210"/>
    <mergeCell ref="F1211:G1211"/>
    <mergeCell ref="I984:J984"/>
    <mergeCell ref="F1161:G1161"/>
    <mergeCell ref="F1169:G1169"/>
    <mergeCell ref="F1170:G1170"/>
    <mergeCell ref="F1171:G1171"/>
    <mergeCell ref="F1157:G1157"/>
    <mergeCell ref="I1163:J1163"/>
    <mergeCell ref="F989:G989"/>
    <mergeCell ref="F990:G990"/>
    <mergeCell ref="F1156:G1156"/>
    <mergeCell ref="F1005:G1005"/>
    <mergeCell ref="F1020:G1020"/>
    <mergeCell ref="F1021:G1021"/>
    <mergeCell ref="F1158:G1158"/>
    <mergeCell ref="F1159:G1159"/>
    <mergeCell ref="F1165:G1165"/>
    <mergeCell ref="I1032:J1032"/>
    <mergeCell ref="F1033:G1033"/>
    <mergeCell ref="F1034:G1034"/>
    <mergeCell ref="F1035:G1035"/>
    <mergeCell ref="F1036:G1036"/>
    <mergeCell ref="F1037:G1037"/>
    <mergeCell ref="I1039:J1039"/>
    <mergeCell ref="F1041:G1041"/>
    <mergeCell ref="I977:J977"/>
    <mergeCell ref="F979:G979"/>
    <mergeCell ref="F980:G980"/>
    <mergeCell ref="F981:G981"/>
    <mergeCell ref="F982:G982"/>
    <mergeCell ref="F942:G942"/>
    <mergeCell ref="F973:G973"/>
    <mergeCell ref="F974:G974"/>
    <mergeCell ref="F972:G972"/>
    <mergeCell ref="F971:G971"/>
    <mergeCell ref="F960:G960"/>
    <mergeCell ref="F964:G964"/>
    <mergeCell ref="F958:G958"/>
    <mergeCell ref="F959:G959"/>
    <mergeCell ref="I962:J962"/>
    <mergeCell ref="I969:J969"/>
    <mergeCell ref="I946:J946"/>
    <mergeCell ref="I954:J954"/>
    <mergeCell ref="I878:J878"/>
    <mergeCell ref="F864:G864"/>
    <mergeCell ref="F865:G865"/>
    <mergeCell ref="F866:G866"/>
    <mergeCell ref="I870:J870"/>
    <mergeCell ref="F854:G854"/>
    <mergeCell ref="F860:G860"/>
    <mergeCell ref="F885:G885"/>
    <mergeCell ref="F880:G880"/>
    <mergeCell ref="F881:G881"/>
    <mergeCell ref="F882:G882"/>
    <mergeCell ref="I862:J862"/>
    <mergeCell ref="F876:G876"/>
    <mergeCell ref="F884:G884"/>
    <mergeCell ref="F872:G872"/>
    <mergeCell ref="F873:G873"/>
    <mergeCell ref="I664:J664"/>
    <mergeCell ref="F666:G666"/>
    <mergeCell ref="I672:J672"/>
    <mergeCell ref="F678:G678"/>
    <mergeCell ref="F679:G679"/>
    <mergeCell ref="F680:G680"/>
    <mergeCell ref="F687:G687"/>
    <mergeCell ref="F677:G677"/>
    <mergeCell ref="F764:G764"/>
    <mergeCell ref="F738:G738"/>
    <mergeCell ref="F756:G756"/>
    <mergeCell ref="F757:G757"/>
    <mergeCell ref="F688:G688"/>
    <mergeCell ref="F729:G729"/>
    <mergeCell ref="F730:G730"/>
    <mergeCell ref="F731:G731"/>
    <mergeCell ref="F699:G699"/>
    <mergeCell ref="F705:G705"/>
    <mergeCell ref="F721:G721"/>
    <mergeCell ref="F695:G695"/>
    <mergeCell ref="F710:G710"/>
    <mergeCell ref="F703:G703"/>
    <mergeCell ref="F720:G720"/>
    <mergeCell ref="I697:J697"/>
    <mergeCell ref="F612:G612"/>
    <mergeCell ref="F613:G613"/>
    <mergeCell ref="I615:J615"/>
    <mergeCell ref="F654:G654"/>
    <mergeCell ref="F641:G641"/>
    <mergeCell ref="F642:G642"/>
    <mergeCell ref="I648:J648"/>
    <mergeCell ref="F644:G644"/>
    <mergeCell ref="F645:G645"/>
    <mergeCell ref="F635:G635"/>
    <mergeCell ref="F646:G646"/>
    <mergeCell ref="F625:G625"/>
    <mergeCell ref="F626:G626"/>
    <mergeCell ref="F627:G627"/>
    <mergeCell ref="F628:G628"/>
    <mergeCell ref="I630:J630"/>
    <mergeCell ref="I547:J547"/>
    <mergeCell ref="I554:J554"/>
    <mergeCell ref="I561:J561"/>
    <mergeCell ref="F352:G352"/>
    <mergeCell ref="F353:G353"/>
    <mergeCell ref="F997:G997"/>
    <mergeCell ref="F883:G883"/>
    <mergeCell ref="F299:G299"/>
    <mergeCell ref="F321:G321"/>
    <mergeCell ref="F333:G333"/>
    <mergeCell ref="F330:G330"/>
    <mergeCell ref="F331:G331"/>
    <mergeCell ref="F329:G329"/>
    <mergeCell ref="F332:G332"/>
    <mergeCell ref="F399:G399"/>
    <mergeCell ref="F935:G935"/>
    <mergeCell ref="F929:G929"/>
    <mergeCell ref="F940:G940"/>
    <mergeCell ref="F950:G950"/>
    <mergeCell ref="F951:G951"/>
    <mergeCell ref="F952:G952"/>
    <mergeCell ref="F521:G521"/>
    <mergeCell ref="F520:G520"/>
    <mergeCell ref="F662:G662"/>
    <mergeCell ref="I327:J327"/>
    <mergeCell ref="F295:G295"/>
    <mergeCell ref="F300:G300"/>
    <mergeCell ref="F324:G324"/>
    <mergeCell ref="F312:G312"/>
    <mergeCell ref="F313:G313"/>
    <mergeCell ref="F314:G314"/>
    <mergeCell ref="F315:G315"/>
    <mergeCell ref="F316:G316"/>
    <mergeCell ref="I318:J318"/>
    <mergeCell ref="F303:G303"/>
    <mergeCell ref="F304:G304"/>
    <mergeCell ref="F305:G305"/>
    <mergeCell ref="F306:G306"/>
    <mergeCell ref="F307:G307"/>
    <mergeCell ref="F308:G308"/>
    <mergeCell ref="I310:J310"/>
    <mergeCell ref="I887:J887"/>
    <mergeCell ref="F937:G937"/>
    <mergeCell ref="F808:G808"/>
    <mergeCell ref="F814:G814"/>
    <mergeCell ref="F815:G815"/>
    <mergeCell ref="F816:G816"/>
    <mergeCell ref="F822:G822"/>
    <mergeCell ref="F823:G823"/>
    <mergeCell ref="F832:G832"/>
    <mergeCell ref="F840:G840"/>
    <mergeCell ref="F848:G848"/>
    <mergeCell ref="F837:G837"/>
    <mergeCell ref="F844:G844"/>
    <mergeCell ref="F845:G845"/>
    <mergeCell ref="F859:G859"/>
    <mergeCell ref="F867:G867"/>
    <mergeCell ref="F874:G874"/>
    <mergeCell ref="F847:G847"/>
    <mergeCell ref="F891:G891"/>
    <mergeCell ref="F892:G892"/>
    <mergeCell ref="I922:J922"/>
    <mergeCell ref="F924:G924"/>
    <mergeCell ref="F925:G925"/>
    <mergeCell ref="F918:G918"/>
    <mergeCell ref="F147:G147"/>
    <mergeCell ref="F148:G148"/>
    <mergeCell ref="F149:G149"/>
    <mergeCell ref="F98:G98"/>
    <mergeCell ref="F140:G140"/>
    <mergeCell ref="F747:G747"/>
    <mergeCell ref="F736:G736"/>
    <mergeCell ref="F737:G737"/>
    <mergeCell ref="F745:G745"/>
    <mergeCell ref="F746:G746"/>
    <mergeCell ref="F401:G401"/>
    <mergeCell ref="F393:G393"/>
    <mergeCell ref="F402:G402"/>
    <mergeCell ref="F394:G394"/>
    <mergeCell ref="F653:G653"/>
    <mergeCell ref="F659:G659"/>
    <mergeCell ref="F660:G660"/>
    <mergeCell ref="F661:G661"/>
    <mergeCell ref="F669:G669"/>
    <mergeCell ref="F668:G668"/>
    <mergeCell ref="F667:G667"/>
    <mergeCell ref="F650:G650"/>
    <mergeCell ref="F485:G485"/>
    <mergeCell ref="F451:G451"/>
    <mergeCell ref="F141:G141"/>
    <mergeCell ref="I144:J144"/>
    <mergeCell ref="I128:J128"/>
    <mergeCell ref="I137:J137"/>
    <mergeCell ref="F97:G97"/>
    <mergeCell ref="I101:J101"/>
    <mergeCell ref="F92:G92"/>
    <mergeCell ref="F93:G93"/>
    <mergeCell ref="I95:J95"/>
    <mergeCell ref="I121:J121"/>
    <mergeCell ref="F134:G134"/>
    <mergeCell ref="F130:G130"/>
    <mergeCell ref="F1219:G1219"/>
    <mergeCell ref="F1185:G1185"/>
    <mergeCell ref="F1175:G1175"/>
    <mergeCell ref="F1198:G1198"/>
    <mergeCell ref="F1236:G1236"/>
    <mergeCell ref="F1237:G1237"/>
    <mergeCell ref="I33:J33"/>
    <mergeCell ref="F35:G35"/>
    <mergeCell ref="F36:G36"/>
    <mergeCell ref="F37:G37"/>
    <mergeCell ref="F38:G38"/>
    <mergeCell ref="F39:G39"/>
    <mergeCell ref="F40:G40"/>
    <mergeCell ref="F41:G41"/>
    <mergeCell ref="F42:G42"/>
    <mergeCell ref="I44:J44"/>
    <mergeCell ref="F46:G46"/>
    <mergeCell ref="F47:G47"/>
    <mergeCell ref="F48:G48"/>
    <mergeCell ref="I50:J50"/>
    <mergeCell ref="F58:G58"/>
    <mergeCell ref="I62:J62"/>
    <mergeCell ref="F818:G818"/>
    <mergeCell ref="F871:G871"/>
    <mergeCell ref="F888:G888"/>
    <mergeCell ref="F1172:G1172"/>
    <mergeCell ref="F1173:G1173"/>
    <mergeCell ref="F1174:G1174"/>
    <mergeCell ref="F1182:G1182"/>
    <mergeCell ref="F1203:G1203"/>
    <mergeCell ref="F1202:G1202"/>
    <mergeCell ref="F908:G908"/>
    <mergeCell ref="F909:G909"/>
    <mergeCell ref="F910:G910"/>
    <mergeCell ref="F911:G911"/>
    <mergeCell ref="F912:G912"/>
    <mergeCell ref="F965:G965"/>
    <mergeCell ref="F975:G975"/>
    <mergeCell ref="F1003:G1003"/>
    <mergeCell ref="F956:G956"/>
    <mergeCell ref="F1042:G1042"/>
    <mergeCell ref="F1064:G1064"/>
    <mergeCell ref="F1065:G1065"/>
    <mergeCell ref="F1066:G1066"/>
    <mergeCell ref="F1067:G1067"/>
    <mergeCell ref="F1068:G1068"/>
    <mergeCell ref="F1079:G1079"/>
    <mergeCell ref="F1080:G1080"/>
    <mergeCell ref="F829:G829"/>
    <mergeCell ref="F856:G856"/>
    <mergeCell ref="F857:G857"/>
    <mergeCell ref="F858:G858"/>
    <mergeCell ref="F1002:G1002"/>
    <mergeCell ref="F868:G868"/>
    <mergeCell ref="F889:G889"/>
    <mergeCell ref="F890:G890"/>
    <mergeCell ref="F957:G957"/>
    <mergeCell ref="F966:G966"/>
    <mergeCell ref="F967:G967"/>
    <mergeCell ref="F998:G998"/>
    <mergeCell ref="F944:G944"/>
    <mergeCell ref="F941:G941"/>
    <mergeCell ref="F943:G943"/>
    <mergeCell ref="F936:G936"/>
    <mergeCell ref="F855:G855"/>
    <mergeCell ref="F917:G917"/>
    <mergeCell ref="F875:G875"/>
    <mergeCell ref="F916:G916"/>
    <mergeCell ref="F933:G933"/>
    <mergeCell ref="F934:G934"/>
    <mergeCell ref="F948:G948"/>
    <mergeCell ref="F949:G949"/>
    <mergeCell ref="F320:G320"/>
    <mergeCell ref="F338:G338"/>
    <mergeCell ref="F198:G198"/>
    <mergeCell ref="F419:G419"/>
    <mergeCell ref="F210:G210"/>
    <mergeCell ref="F179:G179"/>
    <mergeCell ref="F779:G779"/>
    <mergeCell ref="F780:G780"/>
    <mergeCell ref="F781:G781"/>
    <mergeCell ref="F470:G470"/>
    <mergeCell ref="F500:G500"/>
    <mergeCell ref="F501:G501"/>
    <mergeCell ref="F774:G774"/>
    <mergeCell ref="F460:G460"/>
    <mergeCell ref="F475:G475"/>
    <mergeCell ref="F476:G476"/>
    <mergeCell ref="F481:G481"/>
    <mergeCell ref="F482:G482"/>
    <mergeCell ref="F311:G311"/>
    <mergeCell ref="F391:G391"/>
    <mergeCell ref="F516:G516"/>
    <mergeCell ref="F643:G643"/>
    <mergeCell ref="F606:G606"/>
    <mergeCell ref="F607:G607"/>
    <mergeCell ref="F322:G322"/>
    <mergeCell ref="F323:G323"/>
    <mergeCell ref="F434:G434"/>
    <mergeCell ref="F420:G420"/>
    <mergeCell ref="F450:G450"/>
    <mergeCell ref="F411:G411"/>
    <mergeCell ref="F412:G412"/>
    <mergeCell ref="F339:G339"/>
    <mergeCell ref="F387:G387"/>
    <mergeCell ref="F395:G395"/>
    <mergeCell ref="F436:G436"/>
    <mergeCell ref="F373:G373"/>
    <mergeCell ref="F325:G325"/>
    <mergeCell ref="F424:G424"/>
    <mergeCell ref="F425:G425"/>
    <mergeCell ref="F426:G426"/>
    <mergeCell ref="F427:G427"/>
    <mergeCell ref="F435:G435"/>
    <mergeCell ref="F432:G432"/>
    <mergeCell ref="F442:G442"/>
    <mergeCell ref="F441:G441"/>
    <mergeCell ref="F443:G443"/>
    <mergeCell ref="F344:G344"/>
    <mergeCell ref="F345:G345"/>
    <mergeCell ref="F150:G150"/>
    <mergeCell ref="F151:G151"/>
    <mergeCell ref="F160:G160"/>
    <mergeCell ref="F159:G159"/>
    <mergeCell ref="F169:G169"/>
    <mergeCell ref="F177:G177"/>
    <mergeCell ref="F180:G180"/>
    <mergeCell ref="F181:G181"/>
    <mergeCell ref="F182:G182"/>
    <mergeCell ref="F154:G154"/>
    <mergeCell ref="F161:G161"/>
    <mergeCell ref="F166:G166"/>
    <mergeCell ref="F167:G167"/>
    <mergeCell ref="F170:G170"/>
    <mergeCell ref="I108:J108"/>
    <mergeCell ref="F112:G112"/>
    <mergeCell ref="I114:J114"/>
    <mergeCell ref="F25:G25"/>
    <mergeCell ref="F26:G26"/>
    <mergeCell ref="F27:G27"/>
    <mergeCell ref="F28:G28"/>
    <mergeCell ref="F29:G29"/>
    <mergeCell ref="F30:G30"/>
    <mergeCell ref="F64:G64"/>
    <mergeCell ref="F65:G65"/>
    <mergeCell ref="F72:G72"/>
    <mergeCell ref="F78:G78"/>
    <mergeCell ref="F79:G79"/>
    <mergeCell ref="F80:G80"/>
    <mergeCell ref="F59:G59"/>
    <mergeCell ref="F99:G99"/>
    <mergeCell ref="F116:G116"/>
    <mergeCell ref="F117:G117"/>
    <mergeCell ref="F111:G111"/>
    <mergeCell ref="F104:G104"/>
    <mergeCell ref="F105:G105"/>
    <mergeCell ref="F106:G106"/>
    <mergeCell ref="F103:G103"/>
    <mergeCell ref="F110:G110"/>
    <mergeCell ref="F16:G16"/>
    <mergeCell ref="F17:G17"/>
    <mergeCell ref="F18:G18"/>
    <mergeCell ref="F19:G19"/>
    <mergeCell ref="F20:G20"/>
    <mergeCell ref="F31:G31"/>
    <mergeCell ref="F53:G53"/>
    <mergeCell ref="F54:G54"/>
    <mergeCell ref="I56:J56"/>
    <mergeCell ref="F212:G212"/>
    <mergeCell ref="F213:G213"/>
    <mergeCell ref="F227:G227"/>
    <mergeCell ref="F235:G235"/>
    <mergeCell ref="B1:K5"/>
    <mergeCell ref="B11:K11"/>
    <mergeCell ref="C9:H9"/>
    <mergeCell ref="I82:J82"/>
    <mergeCell ref="I88:J88"/>
    <mergeCell ref="F91:G91"/>
    <mergeCell ref="I70:J70"/>
    <mergeCell ref="F75:G75"/>
    <mergeCell ref="F76:G76"/>
    <mergeCell ref="F77:G77"/>
    <mergeCell ref="F84:G84"/>
    <mergeCell ref="F90:G90"/>
    <mergeCell ref="F52:G52"/>
    <mergeCell ref="F60:G60"/>
    <mergeCell ref="I22:J22"/>
    <mergeCell ref="F24:G24"/>
    <mergeCell ref="B12:L12"/>
    <mergeCell ref="F13:G13"/>
    <mergeCell ref="F14:G14"/>
    <mergeCell ref="F15:G15"/>
    <mergeCell ref="F184:G184"/>
    <mergeCell ref="F185:G185"/>
    <mergeCell ref="F183:G183"/>
    <mergeCell ref="F168:G168"/>
    <mergeCell ref="F158:G158"/>
    <mergeCell ref="F152:G152"/>
    <mergeCell ref="F207:G207"/>
    <mergeCell ref="F208:G208"/>
    <mergeCell ref="F209:G209"/>
    <mergeCell ref="F193:G193"/>
    <mergeCell ref="F192:G192"/>
    <mergeCell ref="F178:G178"/>
    <mergeCell ref="F190:G190"/>
    <mergeCell ref="F191:G191"/>
    <mergeCell ref="I187:J187"/>
    <mergeCell ref="F189:G189"/>
    <mergeCell ref="I175:J175"/>
    <mergeCell ref="F66:G66"/>
    <mergeCell ref="F67:G67"/>
    <mergeCell ref="F68:G68"/>
    <mergeCell ref="F73:G73"/>
    <mergeCell ref="F74:G74"/>
    <mergeCell ref="F85:G85"/>
    <mergeCell ref="F86:G86"/>
    <mergeCell ref="F146:G146"/>
    <mergeCell ref="F153:G153"/>
    <mergeCell ref="F119:G119"/>
    <mergeCell ref="F142:G142"/>
    <mergeCell ref="F124:G124"/>
    <mergeCell ref="F125:G125"/>
    <mergeCell ref="F131:G131"/>
    <mergeCell ref="F132:G132"/>
    <mergeCell ref="F133:G133"/>
    <mergeCell ref="F139:G139"/>
    <mergeCell ref="F123:G123"/>
    <mergeCell ref="F118:G118"/>
    <mergeCell ref="F126:G126"/>
    <mergeCell ref="F135:G135"/>
    <mergeCell ref="I156:J156"/>
    <mergeCell ref="F162:G162"/>
    <mergeCell ref="I164:J164"/>
    <mergeCell ref="F171:G171"/>
    <mergeCell ref="F172:G172"/>
    <mergeCell ref="F173:G173"/>
    <mergeCell ref="F194:G194"/>
    <mergeCell ref="F288:G288"/>
    <mergeCell ref="F289:G289"/>
    <mergeCell ref="F249:G249"/>
    <mergeCell ref="F250:G250"/>
    <mergeCell ref="I252:J252"/>
    <mergeCell ref="F264:G264"/>
    <mergeCell ref="F265:G265"/>
    <mergeCell ref="F266:G266"/>
    <mergeCell ref="I268:J268"/>
    <mergeCell ref="F270:G270"/>
    <mergeCell ref="F271:G271"/>
    <mergeCell ref="F272:G272"/>
    <mergeCell ref="F273:G273"/>
    <mergeCell ref="F274:G274"/>
    <mergeCell ref="I276:J276"/>
    <mergeCell ref="F278:G278"/>
    <mergeCell ref="F279:G279"/>
    <mergeCell ref="F246:G246"/>
    <mergeCell ref="F291:G291"/>
    <mergeCell ref="F286:G286"/>
    <mergeCell ref="F287:G287"/>
    <mergeCell ref="F219:G219"/>
    <mergeCell ref="I234:J234"/>
    <mergeCell ref="F239:G239"/>
    <mergeCell ref="F240:G240"/>
    <mergeCell ref="F241:G241"/>
    <mergeCell ref="I243:J243"/>
    <mergeCell ref="F247:G247"/>
    <mergeCell ref="F248:G248"/>
    <mergeCell ref="F236:G236"/>
    <mergeCell ref="F237:G237"/>
    <mergeCell ref="F238:G238"/>
    <mergeCell ref="F231:G231"/>
    <mergeCell ref="F232:G232"/>
    <mergeCell ref="F244:G244"/>
    <mergeCell ref="F245:G245"/>
    <mergeCell ref="F222:G222"/>
    <mergeCell ref="F225:G225"/>
    <mergeCell ref="F229:G229"/>
    <mergeCell ref="F230:G230"/>
    <mergeCell ref="F221:G221"/>
    <mergeCell ref="I196:J196"/>
    <mergeCell ref="F199:G199"/>
    <mergeCell ref="F200:G200"/>
    <mergeCell ref="F201:G201"/>
    <mergeCell ref="I205:J205"/>
    <mergeCell ref="F202:G202"/>
    <mergeCell ref="F203:G203"/>
    <mergeCell ref="F298:G298"/>
    <mergeCell ref="I302:J302"/>
    <mergeCell ref="F258:G258"/>
    <mergeCell ref="I260:J260"/>
    <mergeCell ref="F262:G262"/>
    <mergeCell ref="F263:G263"/>
    <mergeCell ref="F290:G290"/>
    <mergeCell ref="I293:J293"/>
    <mergeCell ref="F296:G296"/>
    <mergeCell ref="F297:G297"/>
    <mergeCell ref="I224:J224"/>
    <mergeCell ref="I284:J284"/>
    <mergeCell ref="F211:G211"/>
    <mergeCell ref="I216:J216"/>
    <mergeCell ref="F218:G218"/>
    <mergeCell ref="F226:G226"/>
    <mergeCell ref="F214:G214"/>
    <mergeCell ref="F340:G340"/>
    <mergeCell ref="I335:J335"/>
    <mergeCell ref="F220:G220"/>
    <mergeCell ref="F228:G228"/>
    <mergeCell ref="F254:G254"/>
    <mergeCell ref="F255:G255"/>
    <mergeCell ref="F256:G256"/>
    <mergeCell ref="F257:G257"/>
    <mergeCell ref="F445:G445"/>
    <mergeCell ref="F433:G433"/>
    <mergeCell ref="F444:G444"/>
    <mergeCell ref="F280:G280"/>
    <mergeCell ref="F281:G281"/>
    <mergeCell ref="F282:G282"/>
    <mergeCell ref="I375:J375"/>
    <mergeCell ref="F376:G376"/>
    <mergeCell ref="F377:G377"/>
    <mergeCell ref="F378:G378"/>
    <mergeCell ref="F379:G379"/>
    <mergeCell ref="I381:J381"/>
    <mergeCell ref="F337:G337"/>
    <mergeCell ref="I342:J342"/>
    <mergeCell ref="F346:G346"/>
    <mergeCell ref="F347:G347"/>
    <mergeCell ref="F469:G469"/>
    <mergeCell ref="F454:G454"/>
    <mergeCell ref="F449:G449"/>
    <mergeCell ref="F452:G452"/>
    <mergeCell ref="F453:G453"/>
    <mergeCell ref="F548:G548"/>
    <mergeCell ref="F549:G549"/>
    <mergeCell ref="F550:G550"/>
    <mergeCell ref="F551:G551"/>
    <mergeCell ref="F486:G486"/>
    <mergeCell ref="F533:G533"/>
    <mergeCell ref="F534:G534"/>
    <mergeCell ref="F535:G535"/>
    <mergeCell ref="F536:G536"/>
    <mergeCell ref="F499:G499"/>
    <mergeCell ref="F483:G483"/>
    <mergeCell ref="F484:G484"/>
    <mergeCell ref="F478:G478"/>
    <mergeCell ref="F479:G479"/>
    <mergeCell ref="F480:G480"/>
    <mergeCell ref="F477:G477"/>
    <mergeCell ref="F468:G468"/>
    <mergeCell ref="F517:G517"/>
    <mergeCell ref="F518:G518"/>
    <mergeCell ref="F555:G555"/>
    <mergeCell ref="F556:G556"/>
    <mergeCell ref="F557:G557"/>
    <mergeCell ref="F558:G558"/>
    <mergeCell ref="F559:G559"/>
    <mergeCell ref="I639:J639"/>
    <mergeCell ref="F636:G636"/>
    <mergeCell ref="F637:G637"/>
    <mergeCell ref="F592:G592"/>
    <mergeCell ref="F593:G593"/>
    <mergeCell ref="F594:G594"/>
    <mergeCell ref="I596:J596"/>
    <mergeCell ref="F598:G598"/>
    <mergeCell ref="F599:G599"/>
    <mergeCell ref="F600:G600"/>
    <mergeCell ref="F601:G601"/>
    <mergeCell ref="F581:G581"/>
    <mergeCell ref="F582:G582"/>
    <mergeCell ref="F583:G583"/>
    <mergeCell ref="F584:G584"/>
    <mergeCell ref="I586:J586"/>
    <mergeCell ref="F588:G588"/>
    <mergeCell ref="F589:G589"/>
    <mergeCell ref="I570:J570"/>
    <mergeCell ref="F519:G519"/>
    <mergeCell ref="F507:G507"/>
    <mergeCell ref="F508:G508"/>
    <mergeCell ref="F515:G515"/>
    <mergeCell ref="F537:G537"/>
    <mergeCell ref="F538:G538"/>
    <mergeCell ref="F552:G552"/>
    <mergeCell ref="F541:G541"/>
    <mergeCell ref="F542:G542"/>
    <mergeCell ref="F543:G543"/>
    <mergeCell ref="F544:G544"/>
    <mergeCell ref="F545:G545"/>
    <mergeCell ref="F574:G574"/>
    <mergeCell ref="F575:G575"/>
    <mergeCell ref="F576:G576"/>
    <mergeCell ref="F466:G466"/>
    <mergeCell ref="F467:G467"/>
    <mergeCell ref="F694:G694"/>
    <mergeCell ref="I496:J496"/>
    <mergeCell ref="F498:G498"/>
    <mergeCell ref="F502:G502"/>
    <mergeCell ref="I504:J504"/>
    <mergeCell ref="F524:G524"/>
    <mergeCell ref="F525:G525"/>
    <mergeCell ref="F526:G526"/>
    <mergeCell ref="F527:G527"/>
    <mergeCell ref="F528:G528"/>
    <mergeCell ref="I530:J530"/>
    <mergeCell ref="F531:G531"/>
    <mergeCell ref="F532:G532"/>
    <mergeCell ref="F509:G509"/>
    <mergeCell ref="F510:G510"/>
    <mergeCell ref="F511:G511"/>
    <mergeCell ref="I513:J513"/>
    <mergeCell ref="F474:G474"/>
    <mergeCell ref="I523:J523"/>
    <mergeCell ref="F562:G562"/>
    <mergeCell ref="F563:G563"/>
    <mergeCell ref="F564:G564"/>
    <mergeCell ref="F565:G565"/>
    <mergeCell ref="F566:G566"/>
    <mergeCell ref="F567:G567"/>
    <mergeCell ref="F568:G568"/>
    <mergeCell ref="F572:G572"/>
    <mergeCell ref="F573:G573"/>
    <mergeCell ref="I578:J578"/>
    <mergeCell ref="F580:G580"/>
    <mergeCell ref="I540:J540"/>
    <mergeCell ref="I707:J707"/>
    <mergeCell ref="F709:G709"/>
    <mergeCell ref="I733:J733"/>
    <mergeCell ref="F748:G748"/>
    <mergeCell ref="F739:G739"/>
    <mergeCell ref="F713:G713"/>
    <mergeCell ref="F727:G727"/>
    <mergeCell ref="F728:G728"/>
    <mergeCell ref="F718:G718"/>
    <mergeCell ref="F719:G719"/>
    <mergeCell ref="F743:G743"/>
    <mergeCell ref="F704:G704"/>
    <mergeCell ref="F711:G711"/>
    <mergeCell ref="F712:G712"/>
    <mergeCell ref="F590:G590"/>
    <mergeCell ref="F591:G591"/>
    <mergeCell ref="F619:G619"/>
    <mergeCell ref="F620:G620"/>
    <mergeCell ref="F621:G621"/>
    <mergeCell ref="I623:J623"/>
    <mergeCell ref="F597:G597"/>
    <mergeCell ref="F798:G798"/>
    <mergeCell ref="F799:G799"/>
    <mergeCell ref="F806:G806"/>
    <mergeCell ref="F807:G807"/>
    <mergeCell ref="F770:G770"/>
    <mergeCell ref="F771:G771"/>
    <mergeCell ref="I776:J776"/>
    <mergeCell ref="F778:G778"/>
    <mergeCell ref="I784:J784"/>
    <mergeCell ref="F772:G772"/>
    <mergeCell ref="F786:G786"/>
    <mergeCell ref="F792:G792"/>
    <mergeCell ref="I794:J794"/>
    <mergeCell ref="F800:G800"/>
    <mergeCell ref="F801:G801"/>
    <mergeCell ref="F802:G802"/>
    <mergeCell ref="I804:J804"/>
    <mergeCell ref="F782:G782"/>
    <mergeCell ref="F796:G796"/>
    <mergeCell ref="F790:G790"/>
    <mergeCell ref="F766:G766"/>
    <mergeCell ref="I768:J768"/>
    <mergeCell ref="F714:G714"/>
    <mergeCell ref="I716:J716"/>
    <mergeCell ref="F722:G722"/>
    <mergeCell ref="F723:G723"/>
    <mergeCell ref="I725:J725"/>
    <mergeCell ref="F773:G773"/>
    <mergeCell ref="F787:G787"/>
    <mergeCell ref="F750:G750"/>
    <mergeCell ref="F758:G758"/>
    <mergeCell ref="F749:G749"/>
    <mergeCell ref="F810:G810"/>
    <mergeCell ref="F824:G824"/>
    <mergeCell ref="F809:G809"/>
    <mergeCell ref="F788:G788"/>
    <mergeCell ref="F789:G789"/>
    <mergeCell ref="F791:G791"/>
    <mergeCell ref="F817:G817"/>
    <mergeCell ref="F825:G825"/>
    <mergeCell ref="I894:J894"/>
    <mergeCell ref="I820:J820"/>
    <mergeCell ref="I834:J834"/>
    <mergeCell ref="F836:G836"/>
    <mergeCell ref="F849:G849"/>
    <mergeCell ref="F850:G850"/>
    <mergeCell ref="I852:J852"/>
    <mergeCell ref="F838:G838"/>
    <mergeCell ref="I827:J827"/>
    <mergeCell ref="I842:J842"/>
    <mergeCell ref="F846:G846"/>
    <mergeCell ref="F830:G830"/>
    <mergeCell ref="F831:G831"/>
    <mergeCell ref="F839:G839"/>
    <mergeCell ref="I812:J812"/>
    <mergeCell ref="F797:G797"/>
    <mergeCell ref="I931:J931"/>
    <mergeCell ref="F898:G898"/>
    <mergeCell ref="F901:G901"/>
    <mergeCell ref="F902:G902"/>
    <mergeCell ref="F903:G903"/>
    <mergeCell ref="F904:G904"/>
    <mergeCell ref="F905:G905"/>
    <mergeCell ref="F895:G895"/>
    <mergeCell ref="F896:G896"/>
    <mergeCell ref="F897:G897"/>
    <mergeCell ref="F926:G926"/>
    <mergeCell ref="F927:G927"/>
    <mergeCell ref="F928:G928"/>
    <mergeCell ref="I900:J900"/>
    <mergeCell ref="I907:J907"/>
    <mergeCell ref="I914:J914"/>
    <mergeCell ref="F923:G923"/>
    <mergeCell ref="F919:G919"/>
    <mergeCell ref="F920:G920"/>
    <mergeCell ref="I1179:J1179"/>
    <mergeCell ref="F1184:G1184"/>
    <mergeCell ref="F1181:G1181"/>
    <mergeCell ref="F1043:G1043"/>
    <mergeCell ref="F1044:G1044"/>
    <mergeCell ref="F1045:G1045"/>
    <mergeCell ref="I1047:J1047"/>
    <mergeCell ref="F1049:G1049"/>
    <mergeCell ref="F1050:G1050"/>
    <mergeCell ref="F1051:G1051"/>
    <mergeCell ref="F1052:G1052"/>
    <mergeCell ref="F1053:G1053"/>
    <mergeCell ref="I1055:J1055"/>
    <mergeCell ref="F1057:G1057"/>
    <mergeCell ref="F1058:G1058"/>
    <mergeCell ref="F1059:G1059"/>
    <mergeCell ref="F1060:G1060"/>
    <mergeCell ref="F1160:G1160"/>
    <mergeCell ref="F1166:G1166"/>
    <mergeCell ref="F1167:G1167"/>
    <mergeCell ref="F1168:G1168"/>
    <mergeCell ref="F1176:G1176"/>
    <mergeCell ref="F1177:G1177"/>
    <mergeCell ref="I1062:J1062"/>
    <mergeCell ref="I1187:J1187"/>
    <mergeCell ref="F1192:G1192"/>
    <mergeCell ref="F1193:G1193"/>
    <mergeCell ref="I1195:J1195"/>
    <mergeCell ref="F1200:G1200"/>
    <mergeCell ref="F1201:G1201"/>
    <mergeCell ref="F1183:G1183"/>
    <mergeCell ref="F1190:G1190"/>
    <mergeCell ref="F1191:G1191"/>
    <mergeCell ref="F1189:G1189"/>
    <mergeCell ref="F1197:G1197"/>
    <mergeCell ref="F392:G392"/>
    <mergeCell ref="F383:G383"/>
    <mergeCell ref="I488:J488"/>
    <mergeCell ref="F490:G490"/>
    <mergeCell ref="F491:G491"/>
    <mergeCell ref="F492:G492"/>
    <mergeCell ref="F493:G493"/>
    <mergeCell ref="F494:G494"/>
    <mergeCell ref="I397:J397"/>
    <mergeCell ref="F403:G403"/>
    <mergeCell ref="I414:J414"/>
    <mergeCell ref="F416:G416"/>
    <mergeCell ref="F428:G428"/>
    <mergeCell ref="I430:J430"/>
    <mergeCell ref="F417:G417"/>
    <mergeCell ref="F418:G418"/>
    <mergeCell ref="I389:J389"/>
    <mergeCell ref="I456:J456"/>
    <mergeCell ref="F458:G458"/>
    <mergeCell ref="F459:G459"/>
    <mergeCell ref="F461:G461"/>
    <mergeCell ref="F462:G462"/>
    <mergeCell ref="I464:J464"/>
    <mergeCell ref="I472:J472"/>
    <mergeCell ref="I603:J603"/>
    <mergeCell ref="F624:G624"/>
    <mergeCell ref="I604:J604"/>
    <mergeCell ref="F617:G617"/>
    <mergeCell ref="F618:G618"/>
    <mergeCell ref="I752:J752"/>
    <mergeCell ref="F754:G754"/>
    <mergeCell ref="I760:J760"/>
    <mergeCell ref="F762:G762"/>
    <mergeCell ref="F700:G700"/>
    <mergeCell ref="F701:G701"/>
    <mergeCell ref="F702:G702"/>
    <mergeCell ref="F632:G632"/>
    <mergeCell ref="F633:G633"/>
    <mergeCell ref="F634:G634"/>
    <mergeCell ref="F670:G670"/>
    <mergeCell ref="F651:G651"/>
    <mergeCell ref="F652:G652"/>
    <mergeCell ref="I656:J656"/>
    <mergeCell ref="F658:G658"/>
    <mergeCell ref="F608:G608"/>
    <mergeCell ref="F609:G609"/>
    <mergeCell ref="F610:G610"/>
    <mergeCell ref="F611:G611"/>
    <mergeCell ref="F765:G765"/>
    <mergeCell ref="F755:G755"/>
    <mergeCell ref="F763:G763"/>
    <mergeCell ref="F735:G735"/>
    <mergeCell ref="I741:J741"/>
    <mergeCell ref="F744:G744"/>
    <mergeCell ref="F674:G674"/>
    <mergeCell ref="F675:G675"/>
    <mergeCell ref="F676:G676"/>
    <mergeCell ref="I682:J682"/>
    <mergeCell ref="F684:G684"/>
    <mergeCell ref="F685:G685"/>
    <mergeCell ref="F686:G686"/>
    <mergeCell ref="I690:J690"/>
    <mergeCell ref="F692:G692"/>
    <mergeCell ref="F693:G693"/>
    <mergeCell ref="I1008:J1008"/>
    <mergeCell ref="F1014:G1014"/>
    <mergeCell ref="I1016:J1016"/>
    <mergeCell ref="F1022:G1022"/>
    <mergeCell ref="F1023:G1023"/>
    <mergeCell ref="I1025:J1025"/>
    <mergeCell ref="F1030:G1030"/>
    <mergeCell ref="F986:G986"/>
    <mergeCell ref="F987:G987"/>
    <mergeCell ref="F988:G988"/>
    <mergeCell ref="I992:J992"/>
    <mergeCell ref="F994:G994"/>
    <mergeCell ref="F995:G995"/>
    <mergeCell ref="F996:G996"/>
    <mergeCell ref="I1000:J1000"/>
    <mergeCell ref="F1028:G1028"/>
    <mergeCell ref="F1029:G1029"/>
    <mergeCell ref="F1004:G1004"/>
    <mergeCell ref="F1018:G1018"/>
    <mergeCell ref="F1019:G1019"/>
    <mergeCell ref="F1006:G1006"/>
    <mergeCell ref="F1027:G1027"/>
    <mergeCell ref="F1010:G1010"/>
    <mergeCell ref="I1070:J1070"/>
    <mergeCell ref="F1072:G1072"/>
    <mergeCell ref="F1073:G1073"/>
    <mergeCell ref="F1011:G1011"/>
    <mergeCell ref="F1013:G1013"/>
    <mergeCell ref="F1012:G1012"/>
    <mergeCell ref="F1074:G1074"/>
    <mergeCell ref="F1075:G1075"/>
    <mergeCell ref="I1077:J1077"/>
    <mergeCell ref="F1081:G1081"/>
    <mergeCell ref="F1082:G1082"/>
    <mergeCell ref="F1083:G1083"/>
    <mergeCell ref="I1085:J1085"/>
    <mergeCell ref="F1087:G1087"/>
    <mergeCell ref="F1088:G1088"/>
    <mergeCell ref="F1089:G1089"/>
    <mergeCell ref="F1090:G1090"/>
    <mergeCell ref="F1091:G1091"/>
    <mergeCell ref="I1093:J1093"/>
    <mergeCell ref="F1095:G1095"/>
    <mergeCell ref="F1096:G1096"/>
    <mergeCell ref="F1097:G1097"/>
    <mergeCell ref="F1098:G1098"/>
    <mergeCell ref="F1099:G1099"/>
    <mergeCell ref="I1101:J1101"/>
    <mergeCell ref="F1103:G1103"/>
    <mergeCell ref="F1104:G1104"/>
    <mergeCell ref="F1105:G1105"/>
    <mergeCell ref="F1106:G1106"/>
    <mergeCell ref="F1107:G1107"/>
    <mergeCell ref="I1109:J1109"/>
    <mergeCell ref="F1111:G1111"/>
    <mergeCell ref="F1112:G1112"/>
    <mergeCell ref="F1113:G1113"/>
    <mergeCell ref="F1114:G1114"/>
    <mergeCell ref="F1115:G1115"/>
    <mergeCell ref="F1116:G1116"/>
    <mergeCell ref="I1118:J1118"/>
    <mergeCell ref="F1120:G1120"/>
    <mergeCell ref="F1121:G1121"/>
    <mergeCell ref="F1122:G1122"/>
    <mergeCell ref="F1123:G1123"/>
    <mergeCell ref="I1125:J1125"/>
    <mergeCell ref="F1126:G1126"/>
    <mergeCell ref="F1127:G1127"/>
    <mergeCell ref="F1128:G1128"/>
    <mergeCell ref="F1129:G1129"/>
    <mergeCell ref="F1130:G1130"/>
    <mergeCell ref="F1131:G1131"/>
    <mergeCell ref="F1132:G1132"/>
    <mergeCell ref="F1133:G1133"/>
    <mergeCell ref="I1135:J1135"/>
    <mergeCell ref="F1137:G1137"/>
    <mergeCell ref="F1138:G1138"/>
    <mergeCell ref="F1139:G1139"/>
    <mergeCell ref="F1140:G1140"/>
    <mergeCell ref="F1141:G1141"/>
    <mergeCell ref="F1142:G1142"/>
    <mergeCell ref="I1154:J1154"/>
    <mergeCell ref="F1143:G1143"/>
    <mergeCell ref="F1144:G1144"/>
    <mergeCell ref="F1145:G1145"/>
    <mergeCell ref="I1147:J1147"/>
    <mergeCell ref="F1148:G1148"/>
    <mergeCell ref="F1149:G1149"/>
    <mergeCell ref="F1150:G1150"/>
    <mergeCell ref="F1151:G1151"/>
    <mergeCell ref="F1152:G1152"/>
  </mergeCells>
  <printOptions horizontalCentered="1"/>
  <pageMargins left="0.39370078740157483" right="0.39370078740157483" top="0.59055118110236227" bottom="0.98425196850393704" header="0.31496062992125984" footer="0.31496062992125984"/>
  <pageSetup paperSize="9" scale="53" orientation="portrait" r:id="rId1"/>
  <headerFooter>
    <oddFooter>&amp;L&amp;"Arial Narrow,Normal"&amp;10&amp;A
&amp;F&amp;C&amp;"Arial Narrow,Negrito"&amp;10ENG. CIVIL THIAGO ALVES SILVA&amp;"Arial Narrow,Normal"
CREA 1004804750/D-GO&amp;R&amp;9Página &amp;P de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4">
    <tabColor theme="6"/>
  </sheetPr>
  <dimension ref="B1:AM60"/>
  <sheetViews>
    <sheetView showGridLines="0" showZeros="0" view="pageBreakPreview" zoomScale="85" zoomScaleNormal="120" zoomScaleSheetLayoutView="85" workbookViewId="0">
      <selection activeCell="C11" sqref="C11:AF11"/>
    </sheetView>
  </sheetViews>
  <sheetFormatPr defaultColWidth="9.140625" defaultRowHeight="12.75" x14ac:dyDescent="0.25"/>
  <cols>
    <col min="1" max="1" width="1.5703125" style="58" customWidth="1"/>
    <col min="2" max="2" width="9.85546875" style="58" customWidth="1"/>
    <col min="3" max="3" width="45.140625" style="58" customWidth="1"/>
    <col min="4" max="4" width="16.140625" style="58" customWidth="1"/>
    <col min="5" max="36" width="3.5703125" style="58" customWidth="1"/>
    <col min="37" max="37" width="1.5703125" style="58" customWidth="1"/>
    <col min="38" max="16384" width="9.140625" style="58"/>
  </cols>
  <sheetData>
    <row r="1" spans="2:39" s="21" customFormat="1" ht="9.9499999999999993" customHeight="1" x14ac:dyDescent="0.25">
      <c r="B1" s="479" t="s">
        <v>328</v>
      </c>
      <c r="C1" s="479"/>
      <c r="D1" s="479"/>
      <c r="E1" s="479"/>
      <c r="F1" s="479"/>
      <c r="G1" s="479"/>
      <c r="H1" s="479"/>
      <c r="I1" s="479"/>
      <c r="J1" s="479"/>
      <c r="K1" s="479"/>
      <c r="L1" s="479"/>
      <c r="M1" s="479"/>
      <c r="N1" s="479"/>
      <c r="O1" s="479"/>
      <c r="P1" s="479"/>
      <c r="Q1" s="479"/>
      <c r="R1" s="479"/>
      <c r="S1" s="479"/>
      <c r="T1" s="479"/>
      <c r="U1" s="479"/>
      <c r="V1" s="479"/>
      <c r="W1" s="479"/>
      <c r="X1" s="479"/>
      <c r="Y1" s="479"/>
      <c r="Z1" s="479"/>
      <c r="AA1" s="479"/>
      <c r="AB1" s="479"/>
      <c r="AC1" s="479"/>
      <c r="AD1" s="479"/>
      <c r="AE1" s="479"/>
      <c r="AF1" s="479"/>
      <c r="AG1" s="479"/>
      <c r="AH1" s="479"/>
      <c r="AI1" s="479"/>
      <c r="AJ1" s="479"/>
    </row>
    <row r="2" spans="2:39" s="21" customFormat="1" ht="9.9499999999999993" customHeight="1" x14ac:dyDescent="0.25">
      <c r="B2" s="479"/>
      <c r="C2" s="479"/>
      <c r="D2" s="479"/>
      <c r="E2" s="479"/>
      <c r="F2" s="479"/>
      <c r="G2" s="479"/>
      <c r="H2" s="479"/>
      <c r="I2" s="479"/>
      <c r="J2" s="479"/>
      <c r="K2" s="479"/>
      <c r="L2" s="479"/>
      <c r="M2" s="479"/>
      <c r="N2" s="479"/>
      <c r="O2" s="479"/>
      <c r="P2" s="479"/>
      <c r="Q2" s="479"/>
      <c r="R2" s="479"/>
      <c r="S2" s="479"/>
      <c r="T2" s="479"/>
      <c r="U2" s="479"/>
      <c r="V2" s="479"/>
      <c r="W2" s="479"/>
      <c r="X2" s="479"/>
      <c r="Y2" s="479"/>
      <c r="Z2" s="479"/>
      <c r="AA2" s="479"/>
      <c r="AB2" s="479"/>
      <c r="AC2" s="479"/>
      <c r="AD2" s="479"/>
      <c r="AE2" s="479"/>
      <c r="AF2" s="479"/>
      <c r="AG2" s="479"/>
      <c r="AH2" s="479"/>
      <c r="AI2" s="479"/>
      <c r="AJ2" s="479"/>
    </row>
    <row r="3" spans="2:39" s="21" customFormat="1" ht="9.9499999999999993" customHeight="1" x14ac:dyDescent="0.25">
      <c r="B3" s="479"/>
      <c r="C3" s="479"/>
      <c r="D3" s="479"/>
      <c r="E3" s="479"/>
      <c r="F3" s="479"/>
      <c r="G3" s="479"/>
      <c r="H3" s="479"/>
      <c r="I3" s="479"/>
      <c r="J3" s="479"/>
      <c r="K3" s="479"/>
      <c r="L3" s="479"/>
      <c r="M3" s="479"/>
      <c r="N3" s="479"/>
      <c r="O3" s="479"/>
      <c r="P3" s="479"/>
      <c r="Q3" s="479"/>
      <c r="R3" s="479"/>
      <c r="S3" s="479"/>
      <c r="T3" s="479"/>
      <c r="U3" s="479"/>
      <c r="V3" s="479"/>
      <c r="W3" s="479"/>
      <c r="X3" s="479"/>
      <c r="Y3" s="479"/>
      <c r="Z3" s="479"/>
      <c r="AA3" s="479"/>
      <c r="AB3" s="479"/>
      <c r="AC3" s="479"/>
      <c r="AD3" s="479"/>
      <c r="AE3" s="479"/>
      <c r="AF3" s="479"/>
      <c r="AG3" s="479"/>
      <c r="AH3" s="479"/>
      <c r="AI3" s="479"/>
      <c r="AJ3" s="479"/>
    </row>
    <row r="4" spans="2:39" s="21" customFormat="1" ht="9.9499999999999993" customHeight="1" x14ac:dyDescent="0.25">
      <c r="B4" s="479"/>
      <c r="C4" s="479"/>
      <c r="D4" s="479"/>
      <c r="E4" s="479"/>
      <c r="F4" s="479"/>
      <c r="G4" s="479"/>
      <c r="H4" s="479"/>
      <c r="I4" s="479"/>
      <c r="J4" s="479"/>
      <c r="K4" s="479"/>
      <c r="L4" s="479"/>
      <c r="M4" s="479"/>
      <c r="N4" s="479"/>
      <c r="O4" s="479"/>
      <c r="P4" s="479"/>
      <c r="Q4" s="479"/>
      <c r="R4" s="479"/>
      <c r="S4" s="479"/>
      <c r="T4" s="479"/>
      <c r="U4" s="479"/>
      <c r="V4" s="479"/>
      <c r="W4" s="479"/>
      <c r="X4" s="479"/>
      <c r="Y4" s="479"/>
      <c r="Z4" s="479"/>
      <c r="AA4" s="479"/>
      <c r="AB4" s="479"/>
      <c r="AC4" s="479"/>
      <c r="AD4" s="479"/>
      <c r="AE4" s="479"/>
      <c r="AF4" s="479"/>
      <c r="AG4" s="479"/>
      <c r="AH4" s="479"/>
      <c r="AI4" s="479"/>
      <c r="AJ4" s="479"/>
    </row>
    <row r="5" spans="2:39" s="21" customFormat="1" ht="9.9499999999999993" customHeight="1" x14ac:dyDescent="0.25">
      <c r="B5" s="479"/>
      <c r="C5" s="479"/>
      <c r="D5" s="479"/>
      <c r="E5" s="479"/>
      <c r="F5" s="479"/>
      <c r="G5" s="479"/>
      <c r="H5" s="479"/>
      <c r="I5" s="479"/>
      <c r="J5" s="479"/>
      <c r="K5" s="479"/>
      <c r="L5" s="479"/>
      <c r="M5" s="479"/>
      <c r="N5" s="479"/>
      <c r="O5" s="479"/>
      <c r="P5" s="479"/>
      <c r="Q5" s="479"/>
      <c r="R5" s="479"/>
      <c r="S5" s="479"/>
      <c r="T5" s="479"/>
      <c r="U5" s="479"/>
      <c r="V5" s="479"/>
      <c r="W5" s="479"/>
      <c r="X5" s="479"/>
      <c r="Y5" s="479"/>
      <c r="Z5" s="479"/>
      <c r="AA5" s="479"/>
      <c r="AB5" s="479"/>
      <c r="AC5" s="479"/>
      <c r="AD5" s="479"/>
      <c r="AE5" s="479"/>
      <c r="AF5" s="479"/>
      <c r="AG5" s="479"/>
      <c r="AH5" s="479"/>
      <c r="AI5" s="479"/>
      <c r="AJ5" s="479"/>
    </row>
    <row r="6" spans="2:39" s="21" customFormat="1" ht="9.9499999999999993" customHeight="1" x14ac:dyDescent="0.25">
      <c r="B6" s="479"/>
      <c r="C6" s="479"/>
      <c r="D6" s="479"/>
      <c r="E6" s="479"/>
      <c r="F6" s="479"/>
      <c r="G6" s="479"/>
      <c r="H6" s="479"/>
      <c r="I6" s="479"/>
      <c r="J6" s="479"/>
      <c r="K6" s="479"/>
      <c r="L6" s="479"/>
      <c r="M6" s="479"/>
      <c r="N6" s="479"/>
      <c r="O6" s="479"/>
      <c r="P6" s="479"/>
      <c r="Q6" s="479"/>
      <c r="R6" s="479"/>
      <c r="S6" s="479"/>
      <c r="T6" s="479"/>
      <c r="U6" s="479"/>
      <c r="V6" s="479"/>
      <c r="W6" s="479"/>
      <c r="X6" s="479"/>
      <c r="Y6" s="479"/>
      <c r="Z6" s="479"/>
      <c r="AA6" s="479"/>
      <c r="AB6" s="479"/>
      <c r="AC6" s="479"/>
      <c r="AD6" s="479"/>
      <c r="AE6" s="479"/>
      <c r="AF6" s="479"/>
      <c r="AG6" s="479"/>
      <c r="AH6" s="479"/>
      <c r="AI6" s="479"/>
      <c r="AJ6" s="479"/>
    </row>
    <row r="7" spans="2:39" s="21" customFormat="1" x14ac:dyDescent="0.25">
      <c r="C7" s="22"/>
      <c r="AD7" s="136" t="s">
        <v>135</v>
      </c>
      <c r="AE7" s="9"/>
      <c r="AF7" s="9"/>
      <c r="AG7" s="10" t="str">
        <f>+'ORÇ. SINTÉTICO ONERADO'!S8</f>
        <v>ENCARGOS SOCIAIS HORISTAS:</v>
      </c>
      <c r="AH7" s="582">
        <f>+'ORÇ. SINTÉTICO ONERADO'!T8</f>
        <v>1.1186</v>
      </c>
      <c r="AI7" s="582"/>
      <c r="AJ7" s="582"/>
    </row>
    <row r="8" spans="2:39" s="12" customFormat="1" ht="15" customHeight="1" x14ac:dyDescent="0.25">
      <c r="B8" s="8" t="s">
        <v>49</v>
      </c>
      <c r="C8" s="13" t="str">
        <f>'DADOS DA OBRA'!$B$13</f>
        <v>TRIBUNAL REGIONAL ELEITORAL - PIAUÍ</v>
      </c>
      <c r="I8" s="9"/>
      <c r="J8" s="9"/>
      <c r="K8" s="9"/>
      <c r="R8" s="10" t="s">
        <v>144</v>
      </c>
      <c r="T8" s="11" t="str">
        <f>+'DADOS DA OBRA'!$N$25</f>
        <v>22/11/2021</v>
      </c>
      <c r="AC8" s="9"/>
      <c r="AD8" s="9"/>
      <c r="AG8" s="10" t="str">
        <f>+'ORÇ. SINTÉTICO ONERADO'!S9</f>
        <v>ENCARGOS SOCIAIS MENSALISTAS:</v>
      </c>
      <c r="AH8" s="582">
        <f>+'ORÇ. SINTÉTICO ONERADO'!T9</f>
        <v>0.70630000000000004</v>
      </c>
      <c r="AI8" s="582"/>
      <c r="AJ8" s="582"/>
    </row>
    <row r="9" spans="2:39" s="12" customFormat="1" ht="15" customHeight="1" x14ac:dyDescent="0.25">
      <c r="B9" s="8" t="s">
        <v>68</v>
      </c>
      <c r="C9" s="13" t="str">
        <f>'DADOS DA OBRA'!$B$16</f>
        <v>SUBSTITUIÇÃO DE INSTALAÇÕES ELÉTRICAS E CABEAMENTO ESTRUTURADO - EDIFÍCIO ANEXO</v>
      </c>
      <c r="R9" s="10" t="s">
        <v>51</v>
      </c>
      <c r="S9" s="595">
        <f>'DADOS DA OBRA'!$N$28</f>
        <v>44733</v>
      </c>
      <c r="T9" s="595"/>
      <c r="U9" s="595"/>
      <c r="AG9" s="10" t="str">
        <f>+'ORÇ. SINTÉTICO ONERADO'!S10</f>
        <v>BDI OBRA:</v>
      </c>
      <c r="AH9" s="582">
        <f>+'ORÇ. SINTÉTICO ONERADO'!T10</f>
        <v>0.21960000000000002</v>
      </c>
      <c r="AI9" s="582"/>
      <c r="AJ9" s="582"/>
    </row>
    <row r="10" spans="2:39" s="12" customFormat="1" ht="15" customHeight="1" x14ac:dyDescent="0.25">
      <c r="B10" s="8" t="s">
        <v>52</v>
      </c>
      <c r="C10" s="9" t="str">
        <f>+""&amp;'DADOS DA OBRA'!$B$19&amp;", "&amp;'DADOS DA OBRA'!$J$22&amp;", "&amp;'DADOS DA OBRA'!$P$22</f>
        <v>PRAÇA EDGAR NOGUEIRA, TERESINA, PI</v>
      </c>
      <c r="D10" s="9"/>
      <c r="R10" s="10" t="s">
        <v>145</v>
      </c>
      <c r="T10" s="11" t="str">
        <f>+'DADOS DA OBRA'!$B$28</f>
        <v>05 MESES</v>
      </c>
      <c r="AG10" s="10" t="str">
        <f>+'ORÇ. SINTÉTICO ONERADO'!S11</f>
        <v>BDI DIFERENCIADO:</v>
      </c>
      <c r="AH10" s="582">
        <f>+'ORÇ. SINTÉTICO ONERADO'!T11</f>
        <v>0.1527</v>
      </c>
      <c r="AI10" s="582"/>
      <c r="AJ10" s="582"/>
    </row>
    <row r="11" spans="2:39" s="12" customFormat="1" ht="38.450000000000003" customHeight="1" x14ac:dyDescent="0.25">
      <c r="B11" s="8" t="s">
        <v>69</v>
      </c>
      <c r="C11" s="522" t="str">
        <f>+'DADOS DA OBRA'!$B$31</f>
        <v>SINAPI - 04/2022 - PIAUÍ 	 SBC - 05/2022 - TSA - Teresina - PI ORSE - 03/2022 - SERGIPE 	 SETOP - 03/2022 - Minas Gerais - Central SUDECAP - 02/2022 - MINAS GERAIS 	 CPOS - 02/2022 - São Paulo AGESUL - 01/2022 - MATO GROSSO DO SUL 	 AGETOP CIVIL - 04/2022 - Goiás EMOP - 04/2022 - RIO DE JANEIRO</v>
      </c>
      <c r="D11" s="522"/>
      <c r="E11" s="522"/>
      <c r="F11" s="522"/>
      <c r="G11" s="522"/>
      <c r="H11" s="522"/>
      <c r="I11" s="522"/>
      <c r="J11" s="522"/>
      <c r="K11" s="522"/>
      <c r="L11" s="522"/>
      <c r="M11" s="522"/>
      <c r="N11" s="522"/>
      <c r="O11" s="522"/>
      <c r="P11" s="522"/>
      <c r="Q11" s="522"/>
      <c r="R11" s="522"/>
      <c r="S11" s="522"/>
      <c r="T11" s="522"/>
      <c r="U11" s="522"/>
      <c r="V11" s="522"/>
      <c r="W11" s="522"/>
      <c r="X11" s="522"/>
      <c r="Y11" s="522"/>
      <c r="Z11" s="522"/>
      <c r="AA11" s="522"/>
      <c r="AB11" s="522"/>
      <c r="AC11" s="522"/>
      <c r="AD11" s="522"/>
      <c r="AE11" s="522"/>
      <c r="AF11" s="522"/>
      <c r="AG11" s="10">
        <f>+'ORÇ. SINTÉTICO ONERADO'!BG11</f>
        <v>0</v>
      </c>
      <c r="AH11" s="582">
        <f>+'ORÇ. SINTÉTICO ONERADO'!BH11</f>
        <v>0</v>
      </c>
      <c r="AI11" s="582"/>
      <c r="AJ11" s="582"/>
    </row>
    <row r="12" spans="2:39" s="20" customFormat="1" ht="6.95" customHeight="1" thickBot="1" x14ac:dyDescent="0.3">
      <c r="C12" s="84"/>
      <c r="AG12" s="76"/>
      <c r="AH12" s="77"/>
      <c r="AI12" s="77"/>
    </row>
    <row r="13" spans="2:39" s="59" customFormat="1" ht="20.100000000000001" customHeight="1" thickBot="1" x14ac:dyDescent="0.3">
      <c r="B13" s="573" t="s">
        <v>21</v>
      </c>
      <c r="C13" s="576" t="s">
        <v>94</v>
      </c>
      <c r="D13" s="554" t="s">
        <v>95</v>
      </c>
      <c r="E13" s="584" t="s">
        <v>96</v>
      </c>
      <c r="F13" s="585"/>
      <c r="G13" s="585"/>
      <c r="H13" s="585"/>
      <c r="I13" s="585"/>
      <c r="J13" s="585"/>
      <c r="K13" s="585"/>
      <c r="L13" s="585"/>
      <c r="M13" s="585"/>
      <c r="N13" s="585"/>
      <c r="O13" s="585"/>
      <c r="P13" s="585"/>
      <c r="Q13" s="585"/>
      <c r="R13" s="585"/>
      <c r="S13" s="585"/>
      <c r="T13" s="585"/>
      <c r="U13" s="585"/>
      <c r="V13" s="585"/>
      <c r="W13" s="585"/>
      <c r="X13" s="585"/>
      <c r="Y13" s="585"/>
      <c r="Z13" s="585"/>
      <c r="AA13" s="585"/>
      <c r="AB13" s="585"/>
      <c r="AC13" s="585"/>
      <c r="AD13" s="585"/>
      <c r="AE13" s="585"/>
      <c r="AF13" s="585"/>
      <c r="AG13" s="585"/>
      <c r="AH13" s="585"/>
      <c r="AI13" s="585"/>
      <c r="AJ13" s="586"/>
    </row>
    <row r="14" spans="2:39" s="59" customFormat="1" ht="18" customHeight="1" x14ac:dyDescent="0.25">
      <c r="B14" s="574"/>
      <c r="C14" s="577"/>
      <c r="D14" s="555"/>
      <c r="E14" s="563" t="s">
        <v>97</v>
      </c>
      <c r="F14" s="558"/>
      <c r="G14" s="558"/>
      <c r="H14" s="559"/>
      <c r="I14" s="557" t="s">
        <v>98</v>
      </c>
      <c r="J14" s="558"/>
      <c r="K14" s="558"/>
      <c r="L14" s="559"/>
      <c r="M14" s="557" t="s">
        <v>99</v>
      </c>
      <c r="N14" s="558"/>
      <c r="O14" s="558"/>
      <c r="P14" s="559"/>
      <c r="Q14" s="557" t="s">
        <v>133</v>
      </c>
      <c r="R14" s="558"/>
      <c r="S14" s="558"/>
      <c r="T14" s="559"/>
      <c r="U14" s="557" t="s">
        <v>134</v>
      </c>
      <c r="V14" s="558"/>
      <c r="W14" s="558"/>
      <c r="X14" s="559"/>
      <c r="Y14" s="557" t="s">
        <v>100</v>
      </c>
      <c r="Z14" s="558"/>
      <c r="AA14" s="558"/>
      <c r="AB14" s="559"/>
      <c r="AC14" s="557" t="s">
        <v>234</v>
      </c>
      <c r="AD14" s="558"/>
      <c r="AE14" s="558"/>
      <c r="AF14" s="559"/>
      <c r="AG14" s="557" t="s">
        <v>235</v>
      </c>
      <c r="AH14" s="558"/>
      <c r="AI14" s="558"/>
      <c r="AJ14" s="583"/>
    </row>
    <row r="15" spans="2:39" s="59" customFormat="1" ht="18" customHeight="1" thickBot="1" x14ac:dyDescent="0.3">
      <c r="B15" s="575"/>
      <c r="C15" s="578"/>
      <c r="D15" s="556"/>
      <c r="E15" s="245" t="s">
        <v>146</v>
      </c>
      <c r="F15" s="246" t="s">
        <v>147</v>
      </c>
      <c r="G15" s="246" t="s">
        <v>148</v>
      </c>
      <c r="H15" s="247" t="s">
        <v>149</v>
      </c>
      <c r="I15" s="248" t="s">
        <v>150</v>
      </c>
      <c r="J15" s="246" t="s">
        <v>151</v>
      </c>
      <c r="K15" s="246" t="s">
        <v>152</v>
      </c>
      <c r="L15" s="247" t="s">
        <v>153</v>
      </c>
      <c r="M15" s="248" t="s">
        <v>154</v>
      </c>
      <c r="N15" s="246" t="s">
        <v>155</v>
      </c>
      <c r="O15" s="246" t="s">
        <v>156</v>
      </c>
      <c r="P15" s="247" t="s">
        <v>157</v>
      </c>
      <c r="Q15" s="248" t="s">
        <v>158</v>
      </c>
      <c r="R15" s="246" t="s">
        <v>159</v>
      </c>
      <c r="S15" s="246" t="s">
        <v>160</v>
      </c>
      <c r="T15" s="247" t="s">
        <v>161</v>
      </c>
      <c r="U15" s="248" t="s">
        <v>162</v>
      </c>
      <c r="V15" s="246" t="s">
        <v>163</v>
      </c>
      <c r="W15" s="246" t="s">
        <v>164</v>
      </c>
      <c r="X15" s="247" t="s">
        <v>165</v>
      </c>
      <c r="Y15" s="248" t="s">
        <v>166</v>
      </c>
      <c r="Z15" s="246" t="s">
        <v>167</v>
      </c>
      <c r="AA15" s="246" t="s">
        <v>168</v>
      </c>
      <c r="AB15" s="247" t="s">
        <v>169</v>
      </c>
      <c r="AC15" s="248" t="s">
        <v>226</v>
      </c>
      <c r="AD15" s="246" t="s">
        <v>227</v>
      </c>
      <c r="AE15" s="246" t="s">
        <v>228</v>
      </c>
      <c r="AF15" s="247" t="s">
        <v>229</v>
      </c>
      <c r="AG15" s="248" t="s">
        <v>230</v>
      </c>
      <c r="AH15" s="246" t="s">
        <v>231</v>
      </c>
      <c r="AI15" s="246" t="s">
        <v>232</v>
      </c>
      <c r="AJ15" s="249" t="s">
        <v>233</v>
      </c>
    </row>
    <row r="16" spans="2:39" ht="18" customHeight="1" x14ac:dyDescent="0.25">
      <c r="B16" s="567">
        <v>1</v>
      </c>
      <c r="C16" s="572" t="str">
        <f>RESUMO!C16</f>
        <v>ADMINISTRAÇÃO</v>
      </c>
      <c r="D16" s="91">
        <f>RESUMO!J16</f>
        <v>161233.35999999999</v>
      </c>
      <c r="E16" s="560">
        <f>E18*$D16</f>
        <v>29344.471519999996</v>
      </c>
      <c r="F16" s="561"/>
      <c r="G16" s="561"/>
      <c r="H16" s="562"/>
      <c r="I16" s="560">
        <f>I18*$D16</f>
        <v>33713.895575999995</v>
      </c>
      <c r="J16" s="561"/>
      <c r="K16" s="561"/>
      <c r="L16" s="562"/>
      <c r="M16" s="560">
        <f>M18*$D16</f>
        <v>33713.895575999995</v>
      </c>
      <c r="N16" s="561"/>
      <c r="O16" s="561"/>
      <c r="P16" s="562"/>
      <c r="Q16" s="560">
        <f>Q18*$D16</f>
        <v>33713.895575999995</v>
      </c>
      <c r="R16" s="561"/>
      <c r="S16" s="561"/>
      <c r="T16" s="562"/>
      <c r="U16" s="560">
        <f>U18*$D16</f>
        <v>30747.201751999997</v>
      </c>
      <c r="V16" s="561"/>
      <c r="W16" s="561"/>
      <c r="X16" s="562"/>
      <c r="Y16" s="560">
        <f>Y18*$D16</f>
        <v>0</v>
      </c>
      <c r="Z16" s="561"/>
      <c r="AA16" s="561"/>
      <c r="AB16" s="562"/>
      <c r="AC16" s="560">
        <f>AC18*$D16</f>
        <v>0</v>
      </c>
      <c r="AD16" s="561"/>
      <c r="AE16" s="561"/>
      <c r="AF16" s="562"/>
      <c r="AG16" s="560">
        <f>AG18*$D16</f>
        <v>0</v>
      </c>
      <c r="AH16" s="561"/>
      <c r="AI16" s="561"/>
      <c r="AJ16" s="587"/>
      <c r="AK16" s="59"/>
      <c r="AL16" s="260"/>
      <c r="AM16" s="260"/>
    </row>
    <row r="17" spans="2:39" ht="8.1" customHeight="1" x14ac:dyDescent="0.25">
      <c r="B17" s="567"/>
      <c r="C17" s="570"/>
      <c r="D17" s="91"/>
      <c r="E17" s="129"/>
      <c r="F17" s="130"/>
      <c r="G17" s="130"/>
      <c r="H17" s="131"/>
      <c r="I17" s="129"/>
      <c r="J17" s="130"/>
      <c r="K17" s="130"/>
      <c r="L17" s="131"/>
      <c r="M17" s="129"/>
      <c r="N17" s="130"/>
      <c r="O17" s="130"/>
      <c r="P17" s="131"/>
      <c r="Q17" s="129"/>
      <c r="R17" s="130"/>
      <c r="S17" s="130"/>
      <c r="T17" s="131"/>
      <c r="U17" s="129"/>
      <c r="V17" s="130"/>
      <c r="W17" s="130"/>
      <c r="X17" s="131"/>
      <c r="Y17" s="132"/>
      <c r="Z17" s="133"/>
      <c r="AA17" s="133"/>
      <c r="AB17" s="134"/>
      <c r="AC17" s="132"/>
      <c r="AD17" s="133"/>
      <c r="AE17" s="133"/>
      <c r="AF17" s="134"/>
      <c r="AG17" s="132"/>
      <c r="AH17" s="133"/>
      <c r="AI17" s="133"/>
      <c r="AJ17" s="135"/>
    </row>
    <row r="18" spans="2:39" ht="18" customHeight="1" x14ac:dyDescent="0.25">
      <c r="B18" s="568"/>
      <c r="C18" s="571"/>
      <c r="D18" s="96">
        <f>SUM(E18:X18)</f>
        <v>1.0000000000000002</v>
      </c>
      <c r="E18" s="533">
        <v>0.182</v>
      </c>
      <c r="F18" s="534"/>
      <c r="G18" s="534"/>
      <c r="H18" s="535"/>
      <c r="I18" s="533">
        <v>0.20910000000000001</v>
      </c>
      <c r="J18" s="534"/>
      <c r="K18" s="534"/>
      <c r="L18" s="535"/>
      <c r="M18" s="533">
        <v>0.20910000000000001</v>
      </c>
      <c r="N18" s="534"/>
      <c r="O18" s="534"/>
      <c r="P18" s="535"/>
      <c r="Q18" s="533">
        <v>0.20910000000000001</v>
      </c>
      <c r="R18" s="534"/>
      <c r="S18" s="534"/>
      <c r="T18" s="535"/>
      <c r="U18" s="533">
        <v>0.19070000000000001</v>
      </c>
      <c r="V18" s="534"/>
      <c r="W18" s="534"/>
      <c r="X18" s="535"/>
      <c r="Y18" s="533"/>
      <c r="Z18" s="534"/>
      <c r="AA18" s="534"/>
      <c r="AB18" s="535"/>
      <c r="AC18" s="533"/>
      <c r="AD18" s="534"/>
      <c r="AE18" s="534"/>
      <c r="AF18" s="535"/>
      <c r="AG18" s="533"/>
      <c r="AH18" s="534"/>
      <c r="AI18" s="534"/>
      <c r="AJ18" s="588"/>
    </row>
    <row r="19" spans="2:39" ht="18" customHeight="1" x14ac:dyDescent="0.25">
      <c r="B19" s="567">
        <v>2</v>
      </c>
      <c r="C19" s="569" t="str">
        <f>RESUMO!C17</f>
        <v>CANTEIRO</v>
      </c>
      <c r="D19" s="91">
        <f>RESUMO!J17</f>
        <v>26197.93</v>
      </c>
      <c r="E19" s="536">
        <f>E21*$D19</f>
        <v>4768.0232599999999</v>
      </c>
      <c r="F19" s="537"/>
      <c r="G19" s="537"/>
      <c r="H19" s="538"/>
      <c r="I19" s="536">
        <f>I21*$D19</f>
        <v>5477.9871630000007</v>
      </c>
      <c r="J19" s="537"/>
      <c r="K19" s="537"/>
      <c r="L19" s="538"/>
      <c r="M19" s="536">
        <f>M21*$D19</f>
        <v>5477.9871630000007</v>
      </c>
      <c r="N19" s="537"/>
      <c r="O19" s="537"/>
      <c r="P19" s="538"/>
      <c r="Q19" s="536">
        <f>Q21*$D19</f>
        <v>5477.9871630000007</v>
      </c>
      <c r="R19" s="537"/>
      <c r="S19" s="537"/>
      <c r="T19" s="538"/>
      <c r="U19" s="536">
        <f>U21*$D19</f>
        <v>4995.9452510000001</v>
      </c>
      <c r="V19" s="537"/>
      <c r="W19" s="537"/>
      <c r="X19" s="538"/>
      <c r="Y19" s="536">
        <f>Y21*$D19</f>
        <v>0</v>
      </c>
      <c r="Z19" s="537"/>
      <c r="AA19" s="537"/>
      <c r="AB19" s="538"/>
      <c r="AC19" s="536">
        <f>AC21*$D19</f>
        <v>0</v>
      </c>
      <c r="AD19" s="537"/>
      <c r="AE19" s="537"/>
      <c r="AF19" s="538"/>
      <c r="AG19" s="536">
        <f>AG21*$D19</f>
        <v>0</v>
      </c>
      <c r="AH19" s="537"/>
      <c r="AI19" s="537"/>
      <c r="AJ19" s="589"/>
      <c r="AL19" s="260"/>
      <c r="AM19" s="260"/>
    </row>
    <row r="20" spans="2:39" ht="8.1" customHeight="1" x14ac:dyDescent="0.25">
      <c r="B20" s="567"/>
      <c r="C20" s="570"/>
      <c r="D20" s="91"/>
      <c r="E20" s="129"/>
      <c r="F20" s="130"/>
      <c r="G20" s="130"/>
      <c r="H20" s="131"/>
      <c r="I20" s="129"/>
      <c r="J20" s="130"/>
      <c r="K20" s="130"/>
      <c r="L20" s="131"/>
      <c r="M20" s="129"/>
      <c r="N20" s="130"/>
      <c r="O20" s="130"/>
      <c r="P20" s="131"/>
      <c r="Q20" s="129"/>
      <c r="R20" s="130"/>
      <c r="S20" s="130"/>
      <c r="T20" s="131"/>
      <c r="U20" s="129"/>
      <c r="V20" s="130"/>
      <c r="W20" s="130"/>
      <c r="X20" s="131"/>
      <c r="Y20" s="132"/>
      <c r="Z20" s="133"/>
      <c r="AA20" s="133"/>
      <c r="AB20" s="134"/>
      <c r="AC20" s="132"/>
      <c r="AD20" s="133"/>
      <c r="AE20" s="133"/>
      <c r="AF20" s="134"/>
      <c r="AG20" s="132"/>
      <c r="AH20" s="133"/>
      <c r="AI20" s="133"/>
      <c r="AJ20" s="135"/>
    </row>
    <row r="21" spans="2:39" ht="18" customHeight="1" x14ac:dyDescent="0.25">
      <c r="B21" s="568"/>
      <c r="C21" s="571"/>
      <c r="D21" s="96">
        <f>SUM(E21:X21)</f>
        <v>1.0000000000000002</v>
      </c>
      <c r="E21" s="533">
        <f>+E18</f>
        <v>0.182</v>
      </c>
      <c r="F21" s="534"/>
      <c r="G21" s="534"/>
      <c r="H21" s="535"/>
      <c r="I21" s="533">
        <f t="shared" ref="I21" si="0">+I18</f>
        <v>0.20910000000000001</v>
      </c>
      <c r="J21" s="534"/>
      <c r="K21" s="534"/>
      <c r="L21" s="535"/>
      <c r="M21" s="533">
        <f t="shared" ref="M21" si="1">+M18</f>
        <v>0.20910000000000001</v>
      </c>
      <c r="N21" s="534"/>
      <c r="O21" s="534"/>
      <c r="P21" s="535"/>
      <c r="Q21" s="533">
        <f t="shared" ref="Q21" si="2">+Q18</f>
        <v>0.20910000000000001</v>
      </c>
      <c r="R21" s="534"/>
      <c r="S21" s="534"/>
      <c r="T21" s="535"/>
      <c r="U21" s="533">
        <v>0.19070000000000001</v>
      </c>
      <c r="V21" s="534"/>
      <c r="W21" s="534"/>
      <c r="X21" s="535"/>
      <c r="Y21" s="533"/>
      <c r="Z21" s="534"/>
      <c r="AA21" s="534"/>
      <c r="AB21" s="535"/>
      <c r="AC21" s="533"/>
      <c r="AD21" s="534"/>
      <c r="AE21" s="534"/>
      <c r="AF21" s="535"/>
      <c r="AG21" s="533"/>
      <c r="AH21" s="534"/>
      <c r="AI21" s="534"/>
      <c r="AJ21" s="588"/>
    </row>
    <row r="22" spans="2:39" ht="18" customHeight="1" x14ac:dyDescent="0.25">
      <c r="B22" s="567">
        <v>3</v>
      </c>
      <c r="C22" s="569" t="str">
        <f>RESUMO!C18</f>
        <v>DEMOLIÇÕES</v>
      </c>
      <c r="D22" s="91">
        <f>RESUMO!J18</f>
        <v>51156.930000000015</v>
      </c>
      <c r="E22" s="536">
        <f>E24*$D22</f>
        <v>25578.465000000007</v>
      </c>
      <c r="F22" s="537"/>
      <c r="G22" s="537"/>
      <c r="H22" s="538"/>
      <c r="I22" s="536">
        <f>I24*$D22</f>
        <v>25578.465000000007</v>
      </c>
      <c r="J22" s="537"/>
      <c r="K22" s="537"/>
      <c r="L22" s="538"/>
      <c r="M22" s="536">
        <f>M24*$D22</f>
        <v>0</v>
      </c>
      <c r="N22" s="537"/>
      <c r="O22" s="537"/>
      <c r="P22" s="538"/>
      <c r="Q22" s="536">
        <f>Q24*$D22</f>
        <v>0</v>
      </c>
      <c r="R22" s="537"/>
      <c r="S22" s="537"/>
      <c r="T22" s="538"/>
      <c r="U22" s="536">
        <f>U24*$D22</f>
        <v>0</v>
      </c>
      <c r="V22" s="537"/>
      <c r="W22" s="537"/>
      <c r="X22" s="538"/>
      <c r="Y22" s="536">
        <f>Y24*$D22</f>
        <v>0</v>
      </c>
      <c r="Z22" s="537"/>
      <c r="AA22" s="537"/>
      <c r="AB22" s="538"/>
      <c r="AC22" s="536">
        <f>AC24*$D22</f>
        <v>0</v>
      </c>
      <c r="AD22" s="537"/>
      <c r="AE22" s="537"/>
      <c r="AF22" s="538"/>
      <c r="AG22" s="536">
        <f>AG24*$D22</f>
        <v>0</v>
      </c>
      <c r="AH22" s="537"/>
      <c r="AI22" s="537"/>
      <c r="AJ22" s="589"/>
      <c r="AL22" s="260"/>
      <c r="AM22" s="260"/>
    </row>
    <row r="23" spans="2:39" ht="8.1" customHeight="1" x14ac:dyDescent="0.25">
      <c r="B23" s="567"/>
      <c r="C23" s="570"/>
      <c r="D23" s="91"/>
      <c r="E23" s="132"/>
      <c r="F23" s="130"/>
      <c r="G23" s="130"/>
      <c r="H23" s="131"/>
      <c r="I23" s="129"/>
      <c r="J23" s="130"/>
      <c r="K23" s="130"/>
      <c r="L23" s="131"/>
      <c r="M23" s="389"/>
      <c r="N23" s="390"/>
      <c r="O23" s="390"/>
      <c r="P23" s="391"/>
      <c r="Q23" s="389"/>
      <c r="R23" s="390"/>
      <c r="S23" s="390"/>
      <c r="T23" s="134"/>
      <c r="U23" s="132"/>
      <c r="V23" s="133"/>
      <c r="W23" s="133"/>
      <c r="X23" s="134"/>
      <c r="Y23" s="132"/>
      <c r="Z23" s="133"/>
      <c r="AA23" s="133"/>
      <c r="AB23" s="134"/>
      <c r="AC23" s="132"/>
      <c r="AD23" s="133"/>
      <c r="AE23" s="133"/>
      <c r="AF23" s="134"/>
      <c r="AG23" s="132"/>
      <c r="AH23" s="133"/>
      <c r="AI23" s="133"/>
      <c r="AJ23" s="135"/>
    </row>
    <row r="24" spans="2:39" ht="18" customHeight="1" x14ac:dyDescent="0.25">
      <c r="B24" s="568"/>
      <c r="C24" s="571"/>
      <c r="D24" s="96">
        <f>SUM(E24:X24)</f>
        <v>1</v>
      </c>
      <c r="E24" s="533">
        <v>0.5</v>
      </c>
      <c r="F24" s="534"/>
      <c r="G24" s="534"/>
      <c r="H24" s="535"/>
      <c r="I24" s="533">
        <v>0.5</v>
      </c>
      <c r="J24" s="534"/>
      <c r="K24" s="534"/>
      <c r="L24" s="535"/>
      <c r="M24" s="533"/>
      <c r="N24" s="534"/>
      <c r="O24" s="534"/>
      <c r="P24" s="535"/>
      <c r="Q24" s="533"/>
      <c r="R24" s="534"/>
      <c r="S24" s="534"/>
      <c r="T24" s="535"/>
      <c r="U24" s="533"/>
      <c r="V24" s="534"/>
      <c r="W24" s="534"/>
      <c r="X24" s="535"/>
      <c r="Y24" s="533"/>
      <c r="Z24" s="534"/>
      <c r="AA24" s="534"/>
      <c r="AB24" s="535"/>
      <c r="AC24" s="533"/>
      <c r="AD24" s="534"/>
      <c r="AE24" s="534"/>
      <c r="AF24" s="535"/>
      <c r="AG24" s="533"/>
      <c r="AH24" s="534"/>
      <c r="AI24" s="534"/>
      <c r="AJ24" s="588"/>
    </row>
    <row r="25" spans="2:39" ht="18" customHeight="1" x14ac:dyDescent="0.25">
      <c r="B25" s="567">
        <v>4</v>
      </c>
      <c r="C25" s="569" t="str">
        <f>RESUMO!C19</f>
        <v>FORROS</v>
      </c>
      <c r="D25" s="91">
        <f>RESUMO!J19</f>
        <v>38192.910000000003</v>
      </c>
      <c r="E25" s="536">
        <f>E27*$D25</f>
        <v>0</v>
      </c>
      <c r="F25" s="537"/>
      <c r="G25" s="537"/>
      <c r="H25" s="538"/>
      <c r="I25" s="536">
        <f>I27*$D25</f>
        <v>0</v>
      </c>
      <c r="J25" s="537"/>
      <c r="K25" s="537"/>
      <c r="L25" s="538"/>
      <c r="M25" s="536">
        <f>M27*$D25</f>
        <v>0</v>
      </c>
      <c r="N25" s="537"/>
      <c r="O25" s="537"/>
      <c r="P25" s="538"/>
      <c r="Q25" s="536">
        <f>Q27*$D25</f>
        <v>19096.455000000002</v>
      </c>
      <c r="R25" s="537"/>
      <c r="S25" s="537"/>
      <c r="T25" s="538"/>
      <c r="U25" s="536">
        <f>U27*$D25</f>
        <v>19096.455000000002</v>
      </c>
      <c r="V25" s="537"/>
      <c r="W25" s="537"/>
      <c r="X25" s="538"/>
      <c r="Y25" s="536">
        <f>Y27*$D25</f>
        <v>0</v>
      </c>
      <c r="Z25" s="537"/>
      <c r="AA25" s="537"/>
      <c r="AB25" s="538"/>
      <c r="AC25" s="536">
        <f>AC27*$D25</f>
        <v>0</v>
      </c>
      <c r="AD25" s="537"/>
      <c r="AE25" s="537"/>
      <c r="AF25" s="538"/>
      <c r="AG25" s="536">
        <f>AG27*$D25</f>
        <v>0</v>
      </c>
      <c r="AH25" s="537"/>
      <c r="AI25" s="537"/>
      <c r="AJ25" s="589"/>
      <c r="AL25" s="260"/>
      <c r="AM25" s="260"/>
    </row>
    <row r="26" spans="2:39" ht="8.1" customHeight="1" x14ac:dyDescent="0.25">
      <c r="B26" s="567"/>
      <c r="C26" s="570"/>
      <c r="D26" s="91"/>
      <c r="E26" s="132"/>
      <c r="F26" s="133"/>
      <c r="G26" s="133"/>
      <c r="H26" s="134"/>
      <c r="I26" s="389"/>
      <c r="J26" s="390"/>
      <c r="K26" s="390"/>
      <c r="L26" s="391"/>
      <c r="M26" s="389"/>
      <c r="N26" s="390"/>
      <c r="O26" s="390"/>
      <c r="P26" s="391"/>
      <c r="Q26" s="129"/>
      <c r="R26" s="130"/>
      <c r="S26" s="130"/>
      <c r="T26" s="131"/>
      <c r="U26" s="129"/>
      <c r="V26" s="130"/>
      <c r="W26" s="130"/>
      <c r="X26" s="131"/>
      <c r="Y26" s="132"/>
      <c r="Z26" s="133"/>
      <c r="AA26" s="133"/>
      <c r="AB26" s="134"/>
      <c r="AC26" s="132"/>
      <c r="AD26" s="133"/>
      <c r="AE26" s="133"/>
      <c r="AF26" s="134"/>
      <c r="AG26" s="132"/>
      <c r="AH26" s="133"/>
      <c r="AI26" s="133"/>
      <c r="AJ26" s="135"/>
    </row>
    <row r="27" spans="2:39" ht="18" customHeight="1" x14ac:dyDescent="0.25">
      <c r="B27" s="568"/>
      <c r="C27" s="571"/>
      <c r="D27" s="96">
        <f>SUM(E27:X27)</f>
        <v>1</v>
      </c>
      <c r="E27" s="533"/>
      <c r="F27" s="534"/>
      <c r="G27" s="534"/>
      <c r="H27" s="535"/>
      <c r="I27" s="533"/>
      <c r="J27" s="534"/>
      <c r="K27" s="534"/>
      <c r="L27" s="535"/>
      <c r="M27" s="533"/>
      <c r="N27" s="534"/>
      <c r="O27" s="534"/>
      <c r="P27" s="535"/>
      <c r="Q27" s="533">
        <v>0.5</v>
      </c>
      <c r="R27" s="534"/>
      <c r="S27" s="534"/>
      <c r="T27" s="535"/>
      <c r="U27" s="533">
        <v>0.5</v>
      </c>
      <c r="V27" s="534"/>
      <c r="W27" s="534"/>
      <c r="X27" s="535"/>
      <c r="Y27" s="533"/>
      <c r="Z27" s="534"/>
      <c r="AA27" s="534"/>
      <c r="AB27" s="535"/>
      <c r="AC27" s="533"/>
      <c r="AD27" s="534"/>
      <c r="AE27" s="534"/>
      <c r="AF27" s="535"/>
      <c r="AG27" s="533"/>
      <c r="AH27" s="534"/>
      <c r="AI27" s="534"/>
      <c r="AJ27" s="588"/>
    </row>
    <row r="28" spans="2:39" ht="18" customHeight="1" x14ac:dyDescent="0.25">
      <c r="B28" s="567">
        <v>5</v>
      </c>
      <c r="C28" s="569" t="str">
        <f>RESUMO!C20</f>
        <v>INSTALAÇÕES ELÉTRICAS</v>
      </c>
      <c r="D28" s="91">
        <f>RESUMO!J20</f>
        <v>133492.24</v>
      </c>
      <c r="E28" s="536">
        <f>E30*$D28</f>
        <v>46722.283999999992</v>
      </c>
      <c r="F28" s="537"/>
      <c r="G28" s="537"/>
      <c r="H28" s="538"/>
      <c r="I28" s="536">
        <f>I30*$D28</f>
        <v>46722.283999999992</v>
      </c>
      <c r="J28" s="537"/>
      <c r="K28" s="537"/>
      <c r="L28" s="538"/>
      <c r="M28" s="536">
        <f>M30*$D28</f>
        <v>40047.671999999999</v>
      </c>
      <c r="N28" s="537"/>
      <c r="O28" s="537"/>
      <c r="P28" s="538"/>
      <c r="Q28" s="536">
        <f t="shared" ref="Q28" si="3">Q30*$D28</f>
        <v>0</v>
      </c>
      <c r="R28" s="537"/>
      <c r="S28" s="537"/>
      <c r="T28" s="538"/>
      <c r="U28" s="536">
        <f t="shared" ref="U28" si="4">U30*$D28</f>
        <v>0</v>
      </c>
      <c r="V28" s="537"/>
      <c r="W28" s="537"/>
      <c r="X28" s="538"/>
      <c r="Y28" s="542"/>
      <c r="Z28" s="543"/>
      <c r="AA28" s="543"/>
      <c r="AB28" s="544"/>
      <c r="AC28" s="542"/>
      <c r="AD28" s="543"/>
      <c r="AE28" s="543"/>
      <c r="AF28" s="544"/>
      <c r="AG28" s="542"/>
      <c r="AH28" s="543"/>
      <c r="AI28" s="543"/>
      <c r="AJ28" s="590"/>
      <c r="AL28" s="260"/>
      <c r="AM28" s="260"/>
    </row>
    <row r="29" spans="2:39" x14ac:dyDescent="0.25">
      <c r="B29" s="567"/>
      <c r="C29" s="570"/>
      <c r="D29" s="91"/>
      <c r="E29" s="132"/>
      <c r="F29" s="133"/>
      <c r="G29" s="390"/>
      <c r="H29" s="131"/>
      <c r="I29" s="129"/>
      <c r="J29" s="130"/>
      <c r="K29" s="130"/>
      <c r="L29" s="131"/>
      <c r="M29" s="129"/>
      <c r="N29" s="390"/>
      <c r="O29" s="390"/>
      <c r="P29" s="391"/>
      <c r="Q29" s="389"/>
      <c r="R29" s="390"/>
      <c r="S29" s="390"/>
      <c r="T29" s="391"/>
      <c r="U29" s="389"/>
      <c r="V29" s="390"/>
      <c r="W29" s="390"/>
      <c r="X29" s="391"/>
      <c r="Y29" s="92"/>
      <c r="Z29" s="93"/>
      <c r="AA29" s="93"/>
      <c r="AB29" s="94"/>
      <c r="AC29" s="92"/>
      <c r="AD29" s="93"/>
      <c r="AE29" s="93"/>
      <c r="AF29" s="94"/>
      <c r="AG29" s="92"/>
      <c r="AH29" s="93"/>
      <c r="AI29" s="93"/>
      <c r="AJ29" s="95"/>
    </row>
    <row r="30" spans="2:39" ht="18" customHeight="1" x14ac:dyDescent="0.25">
      <c r="B30" s="568"/>
      <c r="C30" s="571"/>
      <c r="D30" s="96">
        <f>SUM(E30:X30)</f>
        <v>1</v>
      </c>
      <c r="E30" s="533">
        <v>0.35</v>
      </c>
      <c r="F30" s="534"/>
      <c r="G30" s="534"/>
      <c r="H30" s="535"/>
      <c r="I30" s="533">
        <v>0.35</v>
      </c>
      <c r="J30" s="534"/>
      <c r="K30" s="534"/>
      <c r="L30" s="535"/>
      <c r="M30" s="533">
        <v>0.3</v>
      </c>
      <c r="N30" s="534"/>
      <c r="O30" s="534"/>
      <c r="P30" s="535"/>
      <c r="Q30" s="533"/>
      <c r="R30" s="534"/>
      <c r="S30" s="534"/>
      <c r="T30" s="535"/>
      <c r="U30" s="533"/>
      <c r="V30" s="534"/>
      <c r="W30" s="534"/>
      <c r="X30" s="535"/>
      <c r="Y30" s="533"/>
      <c r="Z30" s="534"/>
      <c r="AA30" s="534"/>
      <c r="AB30" s="535"/>
      <c r="AC30" s="533"/>
      <c r="AD30" s="534"/>
      <c r="AE30" s="534"/>
      <c r="AF30" s="535"/>
      <c r="AG30" s="533"/>
      <c r="AH30" s="534"/>
      <c r="AI30" s="534"/>
      <c r="AJ30" s="588"/>
    </row>
    <row r="31" spans="2:39" ht="18" customHeight="1" x14ac:dyDescent="0.25">
      <c r="B31" s="567">
        <v>6</v>
      </c>
      <c r="C31" s="569" t="str">
        <f>RESUMO!C21</f>
        <v>CAIXA DE PASSAGEM E CANALETA DE ALUMINIO</v>
      </c>
      <c r="D31" s="91">
        <f>RESUMO!J21</f>
        <v>124154.06</v>
      </c>
      <c r="E31" s="536">
        <f>E33*$D31</f>
        <v>24830.812000000002</v>
      </c>
      <c r="F31" s="537"/>
      <c r="G31" s="537"/>
      <c r="H31" s="538"/>
      <c r="I31" s="536">
        <f>I33*$D31</f>
        <v>24830.812000000002</v>
      </c>
      <c r="J31" s="537"/>
      <c r="K31" s="537"/>
      <c r="L31" s="538"/>
      <c r="M31" s="536">
        <f>M33*$D31</f>
        <v>24830.812000000002</v>
      </c>
      <c r="N31" s="537"/>
      <c r="O31" s="537"/>
      <c r="P31" s="538"/>
      <c r="Q31" s="536">
        <f t="shared" ref="Q31" si="5">Q33*$D31</f>
        <v>24830.812000000002</v>
      </c>
      <c r="R31" s="537"/>
      <c r="S31" s="537"/>
      <c r="T31" s="538"/>
      <c r="U31" s="536">
        <f t="shared" ref="U31" si="6">U33*$D31</f>
        <v>24830.812000000002</v>
      </c>
      <c r="V31" s="537"/>
      <c r="W31" s="537"/>
      <c r="X31" s="538"/>
      <c r="Y31" s="542"/>
      <c r="Z31" s="543"/>
      <c r="AA31" s="543"/>
      <c r="AB31" s="544"/>
      <c r="AC31" s="542"/>
      <c r="AD31" s="543"/>
      <c r="AE31" s="543"/>
      <c r="AF31" s="544"/>
      <c r="AG31" s="542"/>
      <c r="AH31" s="543"/>
      <c r="AI31" s="543"/>
      <c r="AJ31" s="590"/>
      <c r="AL31" s="260"/>
      <c r="AM31" s="260"/>
    </row>
    <row r="32" spans="2:39" x14ac:dyDescent="0.25">
      <c r="B32" s="567"/>
      <c r="C32" s="570"/>
      <c r="D32" s="91"/>
      <c r="E32" s="132"/>
      <c r="F32" s="133"/>
      <c r="G32" s="390"/>
      <c r="H32" s="131"/>
      <c r="I32" s="129"/>
      <c r="J32" s="130"/>
      <c r="K32" s="130"/>
      <c r="L32" s="131"/>
      <c r="M32" s="129"/>
      <c r="N32" s="130"/>
      <c r="O32" s="130"/>
      <c r="P32" s="131"/>
      <c r="Q32" s="129"/>
      <c r="R32" s="130"/>
      <c r="S32" s="130"/>
      <c r="T32" s="131"/>
      <c r="U32" s="129"/>
      <c r="V32" s="130"/>
      <c r="W32" s="130"/>
      <c r="X32" s="131"/>
      <c r="Y32" s="92"/>
      <c r="Z32" s="93"/>
      <c r="AA32" s="93"/>
      <c r="AB32" s="94"/>
      <c r="AC32" s="92"/>
      <c r="AD32" s="93"/>
      <c r="AE32" s="93"/>
      <c r="AF32" s="94"/>
      <c r="AG32" s="92"/>
      <c r="AH32" s="93"/>
      <c r="AI32" s="93"/>
      <c r="AJ32" s="95"/>
    </row>
    <row r="33" spans="2:36" ht="16.5" customHeight="1" x14ac:dyDescent="0.25">
      <c r="B33" s="568"/>
      <c r="C33" s="571"/>
      <c r="D33" s="96">
        <f>SUM(E33:X33)</f>
        <v>1</v>
      </c>
      <c r="E33" s="533">
        <v>0.2</v>
      </c>
      <c r="F33" s="534"/>
      <c r="G33" s="534"/>
      <c r="H33" s="535"/>
      <c r="I33" s="533">
        <v>0.2</v>
      </c>
      <c r="J33" s="534"/>
      <c r="K33" s="534"/>
      <c r="L33" s="535"/>
      <c r="M33" s="533">
        <v>0.2</v>
      </c>
      <c r="N33" s="534"/>
      <c r="O33" s="534"/>
      <c r="P33" s="535"/>
      <c r="Q33" s="533">
        <v>0.2</v>
      </c>
      <c r="R33" s="534"/>
      <c r="S33" s="534"/>
      <c r="T33" s="535"/>
      <c r="U33" s="533">
        <v>0.2</v>
      </c>
      <c r="V33" s="534"/>
      <c r="W33" s="534"/>
      <c r="X33" s="535"/>
      <c r="Y33" s="533"/>
      <c r="Z33" s="534"/>
      <c r="AA33" s="534"/>
      <c r="AB33" s="535"/>
      <c r="AC33" s="533"/>
      <c r="AD33" s="534"/>
      <c r="AE33" s="534"/>
      <c r="AF33" s="535"/>
      <c r="AG33" s="533"/>
      <c r="AH33" s="534"/>
      <c r="AI33" s="534"/>
      <c r="AJ33" s="588"/>
    </row>
    <row r="34" spans="2:36" ht="18" customHeight="1" x14ac:dyDescent="0.25">
      <c r="B34" s="567">
        <v>7</v>
      </c>
      <c r="C34" s="569" t="str">
        <f>RESUMO!C22</f>
        <v>TOMADAS</v>
      </c>
      <c r="D34" s="91">
        <f>RESUMO!J22</f>
        <v>16096.6</v>
      </c>
      <c r="E34" s="542">
        <f>E36*$D34</f>
        <v>0</v>
      </c>
      <c r="F34" s="543"/>
      <c r="G34" s="543"/>
      <c r="H34" s="544"/>
      <c r="I34" s="542">
        <f>I36*$D34</f>
        <v>4024.15</v>
      </c>
      <c r="J34" s="543"/>
      <c r="K34" s="543"/>
      <c r="L34" s="544"/>
      <c r="M34" s="542">
        <f>M36*$D34</f>
        <v>4024.15</v>
      </c>
      <c r="N34" s="543"/>
      <c r="O34" s="543"/>
      <c r="P34" s="544"/>
      <c r="Q34" s="542">
        <f>Q36*$D34</f>
        <v>4024.15</v>
      </c>
      <c r="R34" s="543"/>
      <c r="S34" s="543"/>
      <c r="T34" s="544"/>
      <c r="U34" s="542">
        <f>U36*$D34</f>
        <v>4024.15</v>
      </c>
      <c r="V34" s="543"/>
      <c r="W34" s="543"/>
      <c r="X34" s="544"/>
      <c r="Y34" s="542">
        <f>Y36*$D34</f>
        <v>0</v>
      </c>
      <c r="Z34" s="543"/>
      <c r="AA34" s="543"/>
      <c r="AB34" s="544"/>
      <c r="AC34" s="542">
        <f>AC36*$D34</f>
        <v>0</v>
      </c>
      <c r="AD34" s="543"/>
      <c r="AE34" s="543"/>
      <c r="AF34" s="544"/>
      <c r="AG34" s="542">
        <f>AG36*$D34</f>
        <v>0</v>
      </c>
      <c r="AH34" s="543"/>
      <c r="AI34" s="543"/>
      <c r="AJ34" s="590"/>
    </row>
    <row r="35" spans="2:36" ht="9.9499999999999993" customHeight="1" x14ac:dyDescent="0.25">
      <c r="B35" s="567"/>
      <c r="C35" s="570"/>
      <c r="D35" s="91"/>
      <c r="E35" s="92"/>
      <c r="F35" s="93"/>
      <c r="G35" s="93"/>
      <c r="H35" s="94"/>
      <c r="I35" s="92"/>
      <c r="J35" s="93"/>
      <c r="K35" s="93"/>
      <c r="L35" s="392"/>
      <c r="M35" s="92"/>
      <c r="N35" s="93"/>
      <c r="O35" s="93"/>
      <c r="P35" s="94"/>
      <c r="Q35" s="92"/>
      <c r="R35" s="93"/>
      <c r="S35" s="93"/>
      <c r="T35" s="94"/>
      <c r="U35" s="92"/>
      <c r="V35" s="93"/>
      <c r="W35" s="93"/>
      <c r="X35" s="94"/>
      <c r="Y35" s="92"/>
      <c r="Z35" s="93"/>
      <c r="AA35" s="93"/>
      <c r="AB35" s="94"/>
      <c r="AC35" s="92"/>
      <c r="AD35" s="93"/>
      <c r="AE35" s="93"/>
      <c r="AF35" s="94"/>
      <c r="AG35" s="92"/>
      <c r="AH35" s="93"/>
      <c r="AI35" s="93"/>
      <c r="AJ35" s="95"/>
    </row>
    <row r="36" spans="2:36" ht="18" customHeight="1" x14ac:dyDescent="0.25">
      <c r="B36" s="568"/>
      <c r="C36" s="571"/>
      <c r="D36" s="96">
        <f>SUM(E36:X36)</f>
        <v>1</v>
      </c>
      <c r="E36" s="533"/>
      <c r="F36" s="534"/>
      <c r="G36" s="534"/>
      <c r="H36" s="535"/>
      <c r="I36" s="533">
        <v>0.25</v>
      </c>
      <c r="J36" s="534"/>
      <c r="K36" s="534"/>
      <c r="L36" s="535"/>
      <c r="M36" s="533">
        <v>0.25</v>
      </c>
      <c r="N36" s="534"/>
      <c r="O36" s="534"/>
      <c r="P36" s="535"/>
      <c r="Q36" s="533">
        <v>0.25</v>
      </c>
      <c r="R36" s="534"/>
      <c r="S36" s="534"/>
      <c r="T36" s="535"/>
      <c r="U36" s="533">
        <v>0.25</v>
      </c>
      <c r="V36" s="534"/>
      <c r="W36" s="534"/>
      <c r="X36" s="535"/>
      <c r="Y36" s="533"/>
      <c r="Z36" s="534"/>
      <c r="AA36" s="534"/>
      <c r="AB36" s="535"/>
      <c r="AC36" s="533"/>
      <c r="AD36" s="534"/>
      <c r="AE36" s="534"/>
      <c r="AF36" s="535"/>
      <c r="AG36" s="533"/>
      <c r="AH36" s="534"/>
      <c r="AI36" s="534"/>
      <c r="AJ36" s="588"/>
    </row>
    <row r="37" spans="2:36" ht="18" customHeight="1" x14ac:dyDescent="0.25">
      <c r="B37" s="567">
        <v>8</v>
      </c>
      <c r="C37" s="569" t="str">
        <f>RESUMO!C23</f>
        <v>DISPOSITIVO DE PROTEÇÃO</v>
      </c>
      <c r="D37" s="91">
        <f>RESUMO!J23</f>
        <v>16027.02</v>
      </c>
      <c r="E37" s="542">
        <f>E39*$D37</f>
        <v>0</v>
      </c>
      <c r="F37" s="543"/>
      <c r="G37" s="543"/>
      <c r="H37" s="544"/>
      <c r="I37" s="542">
        <f>I39*$D37</f>
        <v>4006.7550000000001</v>
      </c>
      <c r="J37" s="543"/>
      <c r="K37" s="543"/>
      <c r="L37" s="544"/>
      <c r="M37" s="542">
        <f>M39*$D37</f>
        <v>4006.7550000000001</v>
      </c>
      <c r="N37" s="543"/>
      <c r="O37" s="543"/>
      <c r="P37" s="544"/>
      <c r="Q37" s="542">
        <f>Q39*$D37</f>
        <v>4006.7550000000001</v>
      </c>
      <c r="R37" s="543"/>
      <c r="S37" s="543"/>
      <c r="T37" s="544"/>
      <c r="U37" s="542">
        <f>U39*$D37</f>
        <v>4006.7550000000001</v>
      </c>
      <c r="V37" s="543"/>
      <c r="W37" s="543"/>
      <c r="X37" s="544"/>
      <c r="Y37" s="542">
        <f>Y39*$D37</f>
        <v>0</v>
      </c>
      <c r="Z37" s="543"/>
      <c r="AA37" s="543"/>
      <c r="AB37" s="544"/>
      <c r="AC37" s="542">
        <f>AC39*$D37</f>
        <v>0</v>
      </c>
      <c r="AD37" s="543"/>
      <c r="AE37" s="543"/>
      <c r="AF37" s="544"/>
      <c r="AG37" s="542">
        <f>AG39*$D37</f>
        <v>0</v>
      </c>
      <c r="AH37" s="543"/>
      <c r="AI37" s="543"/>
      <c r="AJ37" s="590"/>
    </row>
    <row r="38" spans="2:36" ht="9.9499999999999993" customHeight="1" x14ac:dyDescent="0.25">
      <c r="B38" s="567"/>
      <c r="C38" s="570"/>
      <c r="D38" s="91"/>
      <c r="E38" s="92"/>
      <c r="F38" s="93"/>
      <c r="G38" s="93"/>
      <c r="H38" s="94"/>
      <c r="I38" s="92"/>
      <c r="J38" s="93"/>
      <c r="K38" s="93"/>
      <c r="L38" s="392"/>
      <c r="M38" s="393"/>
      <c r="N38" s="394"/>
      <c r="O38" s="394"/>
      <c r="P38" s="392"/>
      <c r="Q38" s="393"/>
      <c r="R38" s="394"/>
      <c r="S38" s="394"/>
      <c r="T38" s="392"/>
      <c r="U38" s="393"/>
      <c r="V38" s="93"/>
      <c r="W38" s="93"/>
      <c r="X38" s="94"/>
      <c r="Y38" s="92"/>
      <c r="Z38" s="93"/>
      <c r="AA38" s="93"/>
      <c r="AB38" s="94"/>
      <c r="AC38" s="92"/>
      <c r="AD38" s="93"/>
      <c r="AE38" s="93"/>
      <c r="AF38" s="94"/>
      <c r="AG38" s="92"/>
      <c r="AH38" s="93"/>
      <c r="AI38" s="93"/>
      <c r="AJ38" s="95"/>
    </row>
    <row r="39" spans="2:36" ht="18" customHeight="1" x14ac:dyDescent="0.25">
      <c r="B39" s="568"/>
      <c r="C39" s="571"/>
      <c r="D39" s="96">
        <f>SUM(E39:X39)</f>
        <v>1</v>
      </c>
      <c r="E39" s="533"/>
      <c r="F39" s="534"/>
      <c r="G39" s="534"/>
      <c r="H39" s="535"/>
      <c r="I39" s="533">
        <v>0.25</v>
      </c>
      <c r="J39" s="534"/>
      <c r="K39" s="534"/>
      <c r="L39" s="535"/>
      <c r="M39" s="533">
        <v>0.25</v>
      </c>
      <c r="N39" s="534"/>
      <c r="O39" s="534"/>
      <c r="P39" s="535"/>
      <c r="Q39" s="533">
        <v>0.25</v>
      </c>
      <c r="R39" s="534"/>
      <c r="S39" s="534"/>
      <c r="T39" s="535"/>
      <c r="U39" s="533">
        <v>0.25</v>
      </c>
      <c r="V39" s="534"/>
      <c r="W39" s="534"/>
      <c r="X39" s="535"/>
      <c r="Y39" s="533"/>
      <c r="Z39" s="534"/>
      <c r="AA39" s="534"/>
      <c r="AB39" s="535"/>
      <c r="AC39" s="533"/>
      <c r="AD39" s="534"/>
      <c r="AE39" s="534"/>
      <c r="AF39" s="535"/>
      <c r="AG39" s="533"/>
      <c r="AH39" s="534"/>
      <c r="AI39" s="534"/>
      <c r="AJ39" s="588"/>
    </row>
    <row r="40" spans="2:36" ht="18" customHeight="1" x14ac:dyDescent="0.25">
      <c r="B40" s="567">
        <v>9</v>
      </c>
      <c r="C40" s="569" t="str">
        <f>RESUMO!C24</f>
        <v>ELETROCALHA</v>
      </c>
      <c r="D40" s="91">
        <f>RESUMO!J24</f>
        <v>48237.760000000009</v>
      </c>
      <c r="E40" s="542">
        <f>E42*$D40</f>
        <v>9647.5520000000015</v>
      </c>
      <c r="F40" s="543"/>
      <c r="G40" s="543"/>
      <c r="H40" s="544"/>
      <c r="I40" s="542">
        <f>I42*$D40</f>
        <v>9647.5520000000015</v>
      </c>
      <c r="J40" s="543"/>
      <c r="K40" s="543"/>
      <c r="L40" s="544"/>
      <c r="M40" s="542">
        <f>M42*$D40</f>
        <v>9647.5520000000015</v>
      </c>
      <c r="N40" s="543"/>
      <c r="O40" s="543"/>
      <c r="P40" s="544"/>
      <c r="Q40" s="542">
        <f>Q42*$D40</f>
        <v>9647.5520000000015</v>
      </c>
      <c r="R40" s="543"/>
      <c r="S40" s="543"/>
      <c r="T40" s="544"/>
      <c r="U40" s="542">
        <f>U42*$D40</f>
        <v>9647.5520000000015</v>
      </c>
      <c r="V40" s="543"/>
      <c r="W40" s="543"/>
      <c r="X40" s="544"/>
      <c r="Y40" s="542">
        <f>Y42*$D40</f>
        <v>0</v>
      </c>
      <c r="Z40" s="543"/>
      <c r="AA40" s="543"/>
      <c r="AB40" s="544"/>
      <c r="AC40" s="542">
        <f>AC42*$D40</f>
        <v>0</v>
      </c>
      <c r="AD40" s="543"/>
      <c r="AE40" s="543"/>
      <c r="AF40" s="544"/>
      <c r="AG40" s="542">
        <f>AG42*$D40</f>
        <v>0</v>
      </c>
      <c r="AH40" s="543"/>
      <c r="AI40" s="543"/>
      <c r="AJ40" s="590"/>
    </row>
    <row r="41" spans="2:36" ht="18" customHeight="1" x14ac:dyDescent="0.25">
      <c r="B41" s="567"/>
      <c r="C41" s="570"/>
      <c r="D41" s="91"/>
      <c r="E41" s="92"/>
      <c r="F41" s="93"/>
      <c r="G41" s="394"/>
      <c r="H41" s="392"/>
      <c r="I41" s="393"/>
      <c r="J41" s="394"/>
      <c r="K41" s="394"/>
      <c r="L41" s="392"/>
      <c r="M41" s="393"/>
      <c r="N41" s="394"/>
      <c r="O41" s="394"/>
      <c r="P41" s="392"/>
      <c r="Q41" s="393"/>
      <c r="R41" s="394"/>
      <c r="S41" s="394"/>
      <c r="T41" s="392"/>
      <c r="U41" s="393"/>
      <c r="V41" s="394"/>
      <c r="W41" s="93"/>
      <c r="X41" s="94"/>
      <c r="Y41" s="92"/>
      <c r="Z41" s="93"/>
      <c r="AA41" s="93"/>
      <c r="AB41" s="94"/>
      <c r="AC41" s="92"/>
      <c r="AD41" s="93"/>
      <c r="AE41" s="93"/>
      <c r="AF41" s="94"/>
      <c r="AG41" s="92"/>
      <c r="AH41" s="93"/>
      <c r="AI41" s="93"/>
      <c r="AJ41" s="95"/>
    </row>
    <row r="42" spans="2:36" ht="18" customHeight="1" x14ac:dyDescent="0.25">
      <c r="B42" s="568"/>
      <c r="C42" s="571"/>
      <c r="D42" s="96">
        <f>SUM(E42:X42)</f>
        <v>1</v>
      </c>
      <c r="E42" s="533">
        <v>0.2</v>
      </c>
      <c r="F42" s="534"/>
      <c r="G42" s="534"/>
      <c r="H42" s="535"/>
      <c r="I42" s="533">
        <v>0.2</v>
      </c>
      <c r="J42" s="534"/>
      <c r="K42" s="534"/>
      <c r="L42" s="535"/>
      <c r="M42" s="533">
        <v>0.2</v>
      </c>
      <c r="N42" s="534"/>
      <c r="O42" s="534"/>
      <c r="P42" s="535"/>
      <c r="Q42" s="533">
        <v>0.2</v>
      </c>
      <c r="R42" s="534"/>
      <c r="S42" s="534"/>
      <c r="T42" s="535"/>
      <c r="U42" s="533">
        <v>0.2</v>
      </c>
      <c r="V42" s="534"/>
      <c r="W42" s="534"/>
      <c r="X42" s="535"/>
      <c r="Y42" s="533"/>
      <c r="Z42" s="534"/>
      <c r="AA42" s="534"/>
      <c r="AB42" s="535"/>
      <c r="AC42" s="533"/>
      <c r="AD42" s="534"/>
      <c r="AE42" s="534"/>
      <c r="AF42" s="535"/>
      <c r="AG42" s="533"/>
      <c r="AH42" s="534"/>
      <c r="AI42" s="534"/>
      <c r="AJ42" s="588"/>
    </row>
    <row r="43" spans="2:36" ht="18" customHeight="1" x14ac:dyDescent="0.25">
      <c r="B43" s="567">
        <v>10</v>
      </c>
      <c r="C43" s="569" t="str">
        <f>RESUMO!C25</f>
        <v>ELETRODUTOS</v>
      </c>
      <c r="D43" s="91">
        <f>RESUMO!J25</f>
        <v>118652.15999999999</v>
      </c>
      <c r="E43" s="542">
        <f>E45*$D43</f>
        <v>0</v>
      </c>
      <c r="F43" s="543"/>
      <c r="G43" s="543"/>
      <c r="H43" s="544"/>
      <c r="I43" s="542">
        <f>I45*$D43</f>
        <v>29663.039999999997</v>
      </c>
      <c r="J43" s="543"/>
      <c r="K43" s="543"/>
      <c r="L43" s="544"/>
      <c r="M43" s="542">
        <f>M45*$D43</f>
        <v>29663.039999999997</v>
      </c>
      <c r="N43" s="543"/>
      <c r="O43" s="543"/>
      <c r="P43" s="544"/>
      <c r="Q43" s="542">
        <f>Q45*$D43</f>
        <v>29663.039999999997</v>
      </c>
      <c r="R43" s="543"/>
      <c r="S43" s="543"/>
      <c r="T43" s="544"/>
      <c r="U43" s="542">
        <f>U45*$D43</f>
        <v>29663.039999999997</v>
      </c>
      <c r="V43" s="543"/>
      <c r="W43" s="543"/>
      <c r="X43" s="544"/>
      <c r="Y43" s="542">
        <f>Y45*$D43</f>
        <v>0</v>
      </c>
      <c r="Z43" s="543"/>
      <c r="AA43" s="543"/>
      <c r="AB43" s="544"/>
      <c r="AC43" s="542">
        <f>AC45*$D43</f>
        <v>0</v>
      </c>
      <c r="AD43" s="543"/>
      <c r="AE43" s="543"/>
      <c r="AF43" s="544"/>
      <c r="AG43" s="542">
        <f>AG45*$D43</f>
        <v>0</v>
      </c>
      <c r="AH43" s="543"/>
      <c r="AI43" s="543"/>
      <c r="AJ43" s="590"/>
    </row>
    <row r="44" spans="2:36" ht="18" customHeight="1" x14ac:dyDescent="0.25">
      <c r="B44" s="567"/>
      <c r="C44" s="570"/>
      <c r="D44" s="91"/>
      <c r="E44" s="92"/>
      <c r="F44" s="93"/>
      <c r="G44" s="93"/>
      <c r="H44" s="94"/>
      <c r="I44" s="92"/>
      <c r="J44" s="93"/>
      <c r="K44" s="93"/>
      <c r="L44" s="392"/>
      <c r="M44" s="393"/>
      <c r="N44" s="394"/>
      <c r="O44" s="394"/>
      <c r="P44" s="392"/>
      <c r="Q44" s="393"/>
      <c r="R44" s="394"/>
      <c r="S44" s="394"/>
      <c r="T44" s="392"/>
      <c r="U44" s="393"/>
      <c r="V44" s="93"/>
      <c r="W44" s="93"/>
      <c r="X44" s="94"/>
      <c r="Y44" s="92"/>
      <c r="Z44" s="93"/>
      <c r="AA44" s="93"/>
      <c r="AB44" s="94"/>
      <c r="AC44" s="92"/>
      <c r="AD44" s="93"/>
      <c r="AE44" s="93"/>
      <c r="AF44" s="94"/>
      <c r="AG44" s="92"/>
      <c r="AH44" s="93"/>
      <c r="AI44" s="93"/>
      <c r="AJ44" s="95"/>
    </row>
    <row r="45" spans="2:36" ht="18" customHeight="1" x14ac:dyDescent="0.25">
      <c r="B45" s="568"/>
      <c r="C45" s="571"/>
      <c r="D45" s="96">
        <f>SUM(E45:X45)</f>
        <v>1</v>
      </c>
      <c r="E45" s="533"/>
      <c r="F45" s="534"/>
      <c r="G45" s="534"/>
      <c r="H45" s="535"/>
      <c r="I45" s="533">
        <v>0.25</v>
      </c>
      <c r="J45" s="534"/>
      <c r="K45" s="534"/>
      <c r="L45" s="535"/>
      <c r="M45" s="533">
        <v>0.25</v>
      </c>
      <c r="N45" s="534"/>
      <c r="O45" s="534"/>
      <c r="P45" s="535"/>
      <c r="Q45" s="533">
        <v>0.25</v>
      </c>
      <c r="R45" s="534"/>
      <c r="S45" s="534"/>
      <c r="T45" s="535"/>
      <c r="U45" s="533">
        <v>0.25</v>
      </c>
      <c r="V45" s="534"/>
      <c r="W45" s="534"/>
      <c r="X45" s="535"/>
      <c r="Y45" s="533"/>
      <c r="Z45" s="534"/>
      <c r="AA45" s="534"/>
      <c r="AB45" s="535"/>
      <c r="AC45" s="533"/>
      <c r="AD45" s="534"/>
      <c r="AE45" s="534"/>
      <c r="AF45" s="535"/>
      <c r="AG45" s="533"/>
      <c r="AH45" s="534"/>
      <c r="AI45" s="534"/>
      <c r="AJ45" s="588"/>
    </row>
    <row r="46" spans="2:36" ht="18" customHeight="1" x14ac:dyDescent="0.25">
      <c r="B46" s="567">
        <v>11</v>
      </c>
      <c r="C46" s="569" t="str">
        <f>RESUMO!C26</f>
        <v>QUADROS DE DISTRIBUIÇÃO</v>
      </c>
      <c r="D46" s="91">
        <f>RESUMO!J26</f>
        <v>26002.36</v>
      </c>
      <c r="E46" s="542">
        <f>E48*$D46</f>
        <v>0</v>
      </c>
      <c r="F46" s="543"/>
      <c r="G46" s="543"/>
      <c r="H46" s="544"/>
      <c r="I46" s="542">
        <f>I48*$D46</f>
        <v>0</v>
      </c>
      <c r="J46" s="543"/>
      <c r="K46" s="543"/>
      <c r="L46" s="544"/>
      <c r="M46" s="542">
        <f>M48*$D46</f>
        <v>7800.7079999999996</v>
      </c>
      <c r="N46" s="543"/>
      <c r="O46" s="543"/>
      <c r="P46" s="544"/>
      <c r="Q46" s="542">
        <f>Q48*$D46</f>
        <v>7800.7079999999996</v>
      </c>
      <c r="R46" s="543"/>
      <c r="S46" s="543"/>
      <c r="T46" s="544"/>
      <c r="U46" s="542">
        <f>U48*$D46</f>
        <v>10400.944000000001</v>
      </c>
      <c r="V46" s="543"/>
      <c r="W46" s="543"/>
      <c r="X46" s="544"/>
      <c r="Y46" s="542">
        <f>Y48*$D46</f>
        <v>0</v>
      </c>
      <c r="Z46" s="543"/>
      <c r="AA46" s="543"/>
      <c r="AB46" s="544"/>
      <c r="AC46" s="542">
        <f>AC48*$D46</f>
        <v>0</v>
      </c>
      <c r="AD46" s="543"/>
      <c r="AE46" s="543"/>
      <c r="AF46" s="544"/>
      <c r="AG46" s="542">
        <f>AG48*$D46</f>
        <v>0</v>
      </c>
      <c r="AH46" s="543"/>
      <c r="AI46" s="543"/>
      <c r="AJ46" s="590"/>
    </row>
    <row r="47" spans="2:36" ht="18" customHeight="1" x14ac:dyDescent="0.25">
      <c r="B47" s="567"/>
      <c r="C47" s="570"/>
      <c r="D47" s="91"/>
      <c r="E47" s="92"/>
      <c r="F47" s="93"/>
      <c r="G47" s="93"/>
      <c r="H47" s="94"/>
      <c r="I47" s="92"/>
      <c r="J47" s="93"/>
      <c r="K47" s="93"/>
      <c r="L47" s="94"/>
      <c r="M47" s="92"/>
      <c r="N47" s="93"/>
      <c r="O47" s="394"/>
      <c r="P47" s="392"/>
      <c r="Q47" s="393"/>
      <c r="R47" s="394"/>
      <c r="S47" s="394"/>
      <c r="T47" s="392"/>
      <c r="U47" s="393"/>
      <c r="V47" s="394"/>
      <c r="W47" s="394"/>
      <c r="X47" s="94"/>
      <c r="Y47" s="92"/>
      <c r="Z47" s="93"/>
      <c r="AA47" s="93"/>
      <c r="AB47" s="94"/>
      <c r="AC47" s="92"/>
      <c r="AD47" s="93"/>
      <c r="AE47" s="93"/>
      <c r="AF47" s="94"/>
      <c r="AG47" s="92"/>
      <c r="AH47" s="93"/>
      <c r="AI47" s="93"/>
      <c r="AJ47" s="95"/>
    </row>
    <row r="48" spans="2:36" ht="18" customHeight="1" x14ac:dyDescent="0.25">
      <c r="B48" s="568"/>
      <c r="C48" s="571"/>
      <c r="D48" s="96">
        <f>SUM(E48:X48)</f>
        <v>1</v>
      </c>
      <c r="E48" s="533"/>
      <c r="F48" s="534"/>
      <c r="G48" s="534"/>
      <c r="H48" s="535"/>
      <c r="I48" s="533"/>
      <c r="J48" s="534"/>
      <c r="K48" s="534"/>
      <c r="L48" s="535"/>
      <c r="M48" s="533">
        <v>0.3</v>
      </c>
      <c r="N48" s="534"/>
      <c r="O48" s="534"/>
      <c r="P48" s="535"/>
      <c r="Q48" s="533">
        <v>0.3</v>
      </c>
      <c r="R48" s="534"/>
      <c r="S48" s="534"/>
      <c r="T48" s="535"/>
      <c r="U48" s="533">
        <v>0.4</v>
      </c>
      <c r="V48" s="534"/>
      <c r="W48" s="534"/>
      <c r="X48" s="535"/>
      <c r="Y48" s="533"/>
      <c r="Z48" s="534"/>
      <c r="AA48" s="534"/>
      <c r="AB48" s="535"/>
      <c r="AC48" s="533"/>
      <c r="AD48" s="534"/>
      <c r="AE48" s="534"/>
      <c r="AF48" s="535"/>
      <c r="AG48" s="533"/>
      <c r="AH48" s="534"/>
      <c r="AI48" s="534"/>
      <c r="AJ48" s="588"/>
    </row>
    <row r="49" spans="2:36" ht="18" customHeight="1" x14ac:dyDescent="0.25">
      <c r="B49" s="567">
        <v>12</v>
      </c>
      <c r="C49" s="569" t="str">
        <f>RESUMO!C27</f>
        <v>CABEAMENTO ESTRUTURADO</v>
      </c>
      <c r="D49" s="91">
        <f>RESUMO!J27</f>
        <v>351663.08</v>
      </c>
      <c r="E49" s="542">
        <f>E51*$D49</f>
        <v>0</v>
      </c>
      <c r="F49" s="543"/>
      <c r="G49" s="543"/>
      <c r="H49" s="544"/>
      <c r="I49" s="542">
        <f>I51*$D49</f>
        <v>87915.77</v>
      </c>
      <c r="J49" s="543"/>
      <c r="K49" s="543"/>
      <c r="L49" s="544"/>
      <c r="M49" s="542">
        <f>M51*$D49</f>
        <v>87915.77</v>
      </c>
      <c r="N49" s="543"/>
      <c r="O49" s="543"/>
      <c r="P49" s="544"/>
      <c r="Q49" s="542">
        <f>Q51*$D49</f>
        <v>87915.77</v>
      </c>
      <c r="R49" s="543"/>
      <c r="S49" s="543"/>
      <c r="T49" s="544"/>
      <c r="U49" s="542">
        <f>U51*$D49</f>
        <v>87915.77</v>
      </c>
      <c r="V49" s="543"/>
      <c r="W49" s="543"/>
      <c r="X49" s="544"/>
      <c r="Y49" s="542">
        <f>Y51*$D49</f>
        <v>0</v>
      </c>
      <c r="Z49" s="543"/>
      <c r="AA49" s="543"/>
      <c r="AB49" s="544"/>
      <c r="AC49" s="542">
        <f>AC51*$D49</f>
        <v>0</v>
      </c>
      <c r="AD49" s="543"/>
      <c r="AE49" s="543"/>
      <c r="AF49" s="544"/>
      <c r="AG49" s="542">
        <f>AG51*$D49</f>
        <v>0</v>
      </c>
      <c r="AH49" s="543"/>
      <c r="AI49" s="543"/>
      <c r="AJ49" s="590"/>
    </row>
    <row r="50" spans="2:36" ht="18" customHeight="1" x14ac:dyDescent="0.25">
      <c r="B50" s="567"/>
      <c r="C50" s="570"/>
      <c r="D50" s="91"/>
      <c r="E50" s="92"/>
      <c r="F50" s="93"/>
      <c r="G50" s="93"/>
      <c r="H50" s="94"/>
      <c r="I50" s="92"/>
      <c r="J50" s="93"/>
      <c r="K50" s="93"/>
      <c r="L50" s="392"/>
      <c r="M50" s="393"/>
      <c r="N50" s="394"/>
      <c r="O50" s="394"/>
      <c r="P50" s="392"/>
      <c r="Q50" s="393"/>
      <c r="R50" s="394"/>
      <c r="S50" s="394"/>
      <c r="T50" s="392"/>
      <c r="U50" s="393"/>
      <c r="V50" s="93"/>
      <c r="W50" s="93"/>
      <c r="X50" s="94"/>
      <c r="Y50" s="92"/>
      <c r="Z50" s="93"/>
      <c r="AA50" s="93"/>
      <c r="AB50" s="94"/>
      <c r="AC50" s="92"/>
      <c r="AD50" s="93"/>
      <c r="AE50" s="93"/>
      <c r="AF50" s="94"/>
      <c r="AG50" s="92"/>
      <c r="AH50" s="93"/>
      <c r="AI50" s="93"/>
      <c r="AJ50" s="95"/>
    </row>
    <row r="51" spans="2:36" ht="18" customHeight="1" x14ac:dyDescent="0.25">
      <c r="B51" s="568"/>
      <c r="C51" s="571"/>
      <c r="D51" s="96">
        <f>SUM(E51:X51)</f>
        <v>1</v>
      </c>
      <c r="E51" s="533"/>
      <c r="F51" s="534"/>
      <c r="G51" s="534"/>
      <c r="H51" s="535"/>
      <c r="I51" s="533">
        <v>0.25</v>
      </c>
      <c r="J51" s="534"/>
      <c r="K51" s="534"/>
      <c r="L51" s="535"/>
      <c r="M51" s="533">
        <v>0.25</v>
      </c>
      <c r="N51" s="534"/>
      <c r="O51" s="534"/>
      <c r="P51" s="535"/>
      <c r="Q51" s="533">
        <v>0.25</v>
      </c>
      <c r="R51" s="534"/>
      <c r="S51" s="534"/>
      <c r="T51" s="535"/>
      <c r="U51" s="533">
        <v>0.25</v>
      </c>
      <c r="V51" s="534"/>
      <c r="W51" s="534"/>
      <c r="X51" s="535"/>
      <c r="Y51" s="533"/>
      <c r="Z51" s="534"/>
      <c r="AA51" s="534"/>
      <c r="AB51" s="535"/>
      <c r="AC51" s="533"/>
      <c r="AD51" s="534"/>
      <c r="AE51" s="534"/>
      <c r="AF51" s="535"/>
      <c r="AG51" s="533"/>
      <c r="AH51" s="534"/>
      <c r="AI51" s="534"/>
      <c r="AJ51" s="588"/>
    </row>
    <row r="52" spans="2:36" ht="18" customHeight="1" x14ac:dyDescent="0.25">
      <c r="B52" s="567">
        <v>13</v>
      </c>
      <c r="C52" s="569" t="str">
        <f>RESUMO!C28</f>
        <v>SERVIÇOS COMPLEMENTARES</v>
      </c>
      <c r="D52" s="91">
        <f>RESUMO!J28</f>
        <v>11167.51</v>
      </c>
      <c r="E52" s="542">
        <f>E54*$D52</f>
        <v>0</v>
      </c>
      <c r="F52" s="543"/>
      <c r="G52" s="543"/>
      <c r="H52" s="544"/>
      <c r="I52" s="542">
        <f>I54*$D52</f>
        <v>0</v>
      </c>
      <c r="J52" s="543"/>
      <c r="K52" s="543"/>
      <c r="L52" s="544"/>
      <c r="M52" s="542">
        <f>M54*$D52</f>
        <v>0</v>
      </c>
      <c r="N52" s="543"/>
      <c r="O52" s="543"/>
      <c r="P52" s="544"/>
      <c r="Q52" s="542">
        <f>Q54*$D52</f>
        <v>5583.7550000000001</v>
      </c>
      <c r="R52" s="543"/>
      <c r="S52" s="543"/>
      <c r="T52" s="544"/>
      <c r="U52" s="542">
        <f>U54*$D52</f>
        <v>5583.7550000000001</v>
      </c>
      <c r="V52" s="543"/>
      <c r="W52" s="543"/>
      <c r="X52" s="544"/>
      <c r="Y52" s="542">
        <f>Y54*$D52</f>
        <v>0</v>
      </c>
      <c r="Z52" s="543"/>
      <c r="AA52" s="543"/>
      <c r="AB52" s="544"/>
      <c r="AC52" s="542">
        <f>AC54*$D52</f>
        <v>0</v>
      </c>
      <c r="AD52" s="543"/>
      <c r="AE52" s="543"/>
      <c r="AF52" s="544"/>
      <c r="AG52" s="542">
        <f>AG54*$D52</f>
        <v>0</v>
      </c>
      <c r="AH52" s="543"/>
      <c r="AI52" s="543"/>
      <c r="AJ52" s="590"/>
    </row>
    <row r="53" spans="2:36" ht="15" customHeight="1" x14ac:dyDescent="0.25">
      <c r="B53" s="567"/>
      <c r="C53" s="570"/>
      <c r="D53" s="91"/>
      <c r="E53" s="92"/>
      <c r="F53" s="93"/>
      <c r="G53" s="93"/>
      <c r="H53" s="94"/>
      <c r="I53" s="92"/>
      <c r="J53" s="93"/>
      <c r="K53" s="93"/>
      <c r="L53" s="94"/>
      <c r="M53" s="92"/>
      <c r="N53" s="93"/>
      <c r="O53" s="93"/>
      <c r="P53" s="94"/>
      <c r="Q53" s="92"/>
      <c r="R53" s="93"/>
      <c r="S53" s="394"/>
      <c r="T53" s="392"/>
      <c r="U53" s="393"/>
      <c r="V53" s="394"/>
      <c r="W53" s="395"/>
      <c r="X53" s="94"/>
      <c r="Y53" s="92"/>
      <c r="Z53" s="93"/>
      <c r="AA53" s="93"/>
      <c r="AB53" s="94"/>
      <c r="AC53" s="92"/>
      <c r="AD53" s="93"/>
      <c r="AE53" s="93"/>
      <c r="AF53" s="94"/>
      <c r="AG53" s="92"/>
      <c r="AH53" s="93"/>
      <c r="AI53" s="93"/>
      <c r="AJ53" s="95"/>
    </row>
    <row r="54" spans="2:36" ht="15.75" customHeight="1" thickBot="1" x14ac:dyDescent="0.3">
      <c r="B54" s="568"/>
      <c r="C54" s="571"/>
      <c r="D54" s="96">
        <f>SUM(E54:X54)</f>
        <v>1</v>
      </c>
      <c r="E54" s="533"/>
      <c r="F54" s="534"/>
      <c r="G54" s="534"/>
      <c r="H54" s="535"/>
      <c r="I54" s="533"/>
      <c r="J54" s="534"/>
      <c r="K54" s="534"/>
      <c r="L54" s="535"/>
      <c r="M54" s="533"/>
      <c r="N54" s="534"/>
      <c r="O54" s="534"/>
      <c r="P54" s="535"/>
      <c r="Q54" s="533">
        <v>0.5</v>
      </c>
      <c r="R54" s="534"/>
      <c r="S54" s="534"/>
      <c r="T54" s="535"/>
      <c r="U54" s="533">
        <v>0.5</v>
      </c>
      <c r="V54" s="534"/>
      <c r="W54" s="534"/>
      <c r="X54" s="535"/>
      <c r="Y54" s="533"/>
      <c r="Z54" s="534"/>
      <c r="AA54" s="534"/>
      <c r="AB54" s="535"/>
      <c r="AC54" s="533"/>
      <c r="AD54" s="534"/>
      <c r="AE54" s="534"/>
      <c r="AF54" s="535"/>
      <c r="AG54" s="533"/>
      <c r="AH54" s="534"/>
      <c r="AI54" s="534"/>
      <c r="AJ54" s="588"/>
    </row>
    <row r="55" spans="2:36" ht="21" customHeight="1" x14ac:dyDescent="0.25">
      <c r="B55" s="60"/>
      <c r="C55" s="61" t="s">
        <v>101</v>
      </c>
      <c r="D55" s="62">
        <f>D16+D19+D22+D25+D28+D31+D34+D37+D40+D43+D46+D49+D52</f>
        <v>1122273.92</v>
      </c>
      <c r="E55" s="545">
        <f>E16+E22+E28+E34+E37+E43+E46+E49+E52+E31+E40+E25+E19</f>
        <v>140891.60777999999</v>
      </c>
      <c r="F55" s="546"/>
      <c r="G55" s="546"/>
      <c r="H55" s="547"/>
      <c r="I55" s="545">
        <f t="shared" ref="I55" si="7">I16+I22+I28+I34+I37+I43+I46+I49+I52+I31+I40+I25+I19</f>
        <v>271580.710739</v>
      </c>
      <c r="J55" s="546"/>
      <c r="K55" s="546"/>
      <c r="L55" s="547"/>
      <c r="M55" s="545">
        <f t="shared" ref="M55" si="8">M16+M22+M28+M34+M37+M43+M46+M49+M52+M31+M40+M25+M19</f>
        <v>247128.34173900002</v>
      </c>
      <c r="N55" s="546"/>
      <c r="O55" s="546"/>
      <c r="P55" s="547"/>
      <c r="Q55" s="545">
        <f t="shared" ref="Q55" si="9">Q16+Q22+Q28+Q34+Q37+Q43+Q46+Q49+Q52+Q31+Q40+Q25+Q19</f>
        <v>231760.87973900003</v>
      </c>
      <c r="R55" s="546"/>
      <c r="S55" s="546"/>
      <c r="T55" s="547"/>
      <c r="U55" s="545">
        <f t="shared" ref="U55" si="10">U16+U22+U28+U34+U37+U43+U46+U49+U52+U31+U40+U25+U19</f>
        <v>230912.38000300003</v>
      </c>
      <c r="V55" s="546"/>
      <c r="W55" s="546"/>
      <c r="X55" s="547"/>
      <c r="Y55" s="579"/>
      <c r="Z55" s="580"/>
      <c r="AA55" s="580"/>
      <c r="AB55" s="581"/>
      <c r="AC55" s="579"/>
      <c r="AD55" s="580"/>
      <c r="AE55" s="580"/>
      <c r="AF55" s="581"/>
      <c r="AG55" s="579"/>
      <c r="AH55" s="580"/>
      <c r="AI55" s="580"/>
      <c r="AJ55" s="592"/>
    </row>
    <row r="56" spans="2:36" ht="21" customHeight="1" thickBot="1" x14ac:dyDescent="0.3">
      <c r="B56" s="63"/>
      <c r="C56" s="64" t="s">
        <v>102</v>
      </c>
      <c r="D56" s="65">
        <f>SUM(E56:X56)</f>
        <v>1</v>
      </c>
      <c r="E56" s="548">
        <f>E55/$D$55</f>
        <v>0.12554119388250598</v>
      </c>
      <c r="F56" s="549"/>
      <c r="G56" s="549"/>
      <c r="H56" s="550"/>
      <c r="I56" s="548">
        <f>I55/$D$55</f>
        <v>0.2419914656298883</v>
      </c>
      <c r="J56" s="549"/>
      <c r="K56" s="549"/>
      <c r="L56" s="550"/>
      <c r="M56" s="548">
        <f t="shared" ref="M56" si="11">M55/$D$55</f>
        <v>0.22020322965270372</v>
      </c>
      <c r="N56" s="549"/>
      <c r="O56" s="549"/>
      <c r="P56" s="550"/>
      <c r="Q56" s="548">
        <f t="shared" ref="Q56" si="12">Q55/$D$55</f>
        <v>0.2065100824395884</v>
      </c>
      <c r="R56" s="549"/>
      <c r="S56" s="549"/>
      <c r="T56" s="550"/>
      <c r="U56" s="548">
        <f t="shared" ref="U56" si="13">U55/$D$55</f>
        <v>0.20575402839531373</v>
      </c>
      <c r="V56" s="549"/>
      <c r="W56" s="549"/>
      <c r="X56" s="550"/>
      <c r="Y56" s="548"/>
      <c r="Z56" s="549"/>
      <c r="AA56" s="549"/>
      <c r="AB56" s="550"/>
      <c r="AC56" s="548"/>
      <c r="AD56" s="549"/>
      <c r="AE56" s="549"/>
      <c r="AF56" s="550"/>
      <c r="AG56" s="548"/>
      <c r="AH56" s="549"/>
      <c r="AI56" s="549"/>
      <c r="AJ56" s="593"/>
    </row>
    <row r="57" spans="2:36" s="59" customFormat="1" ht="21" customHeight="1" x14ac:dyDescent="0.25">
      <c r="B57" s="66"/>
      <c r="C57" s="67" t="s">
        <v>103</v>
      </c>
      <c r="D57" s="68"/>
      <c r="E57" s="551">
        <f>+E55</f>
        <v>140891.60777999999</v>
      </c>
      <c r="F57" s="552"/>
      <c r="G57" s="552"/>
      <c r="H57" s="553"/>
      <c r="I57" s="551">
        <f>+I55+E57</f>
        <v>412472.31851899996</v>
      </c>
      <c r="J57" s="552"/>
      <c r="K57" s="552"/>
      <c r="L57" s="553"/>
      <c r="M57" s="551">
        <f t="shared" ref="M57:M58" si="14">+M55+I57</f>
        <v>659600.66025800002</v>
      </c>
      <c r="N57" s="552"/>
      <c r="O57" s="552"/>
      <c r="P57" s="553"/>
      <c r="Q57" s="551">
        <f t="shared" ref="Q57:Q58" si="15">+Q55+M57</f>
        <v>891361.53999700001</v>
      </c>
      <c r="R57" s="552"/>
      <c r="S57" s="552"/>
      <c r="T57" s="553"/>
      <c r="U57" s="551">
        <f t="shared" ref="U57:U58" si="16">+U55+Q57</f>
        <v>1122273.92</v>
      </c>
      <c r="V57" s="552"/>
      <c r="W57" s="552"/>
      <c r="X57" s="553"/>
      <c r="Y57" s="564"/>
      <c r="Z57" s="565"/>
      <c r="AA57" s="565"/>
      <c r="AB57" s="566"/>
      <c r="AC57" s="564"/>
      <c r="AD57" s="565"/>
      <c r="AE57" s="565"/>
      <c r="AF57" s="566"/>
      <c r="AG57" s="564"/>
      <c r="AH57" s="565"/>
      <c r="AI57" s="565"/>
      <c r="AJ57" s="594"/>
    </row>
    <row r="58" spans="2:36" s="59" customFormat="1" ht="21" customHeight="1" thickBot="1" x14ac:dyDescent="0.3">
      <c r="B58" s="69"/>
      <c r="C58" s="70" t="s">
        <v>104</v>
      </c>
      <c r="D58" s="70"/>
      <c r="E58" s="539">
        <f>E56</f>
        <v>0.12554119388250598</v>
      </c>
      <c r="F58" s="540"/>
      <c r="G58" s="540"/>
      <c r="H58" s="541"/>
      <c r="I58" s="539">
        <f>+I56+E58</f>
        <v>0.36753265951239428</v>
      </c>
      <c r="J58" s="540"/>
      <c r="K58" s="540"/>
      <c r="L58" s="541"/>
      <c r="M58" s="539">
        <f t="shared" si="14"/>
        <v>0.587735889165098</v>
      </c>
      <c r="N58" s="540"/>
      <c r="O58" s="540"/>
      <c r="P58" s="541"/>
      <c r="Q58" s="539">
        <f t="shared" si="15"/>
        <v>0.79424597160468635</v>
      </c>
      <c r="R58" s="540"/>
      <c r="S58" s="540"/>
      <c r="T58" s="541"/>
      <c r="U58" s="539">
        <f t="shared" si="16"/>
        <v>1</v>
      </c>
      <c r="V58" s="540"/>
      <c r="W58" s="540"/>
      <c r="X58" s="541"/>
      <c r="Y58" s="539"/>
      <c r="Z58" s="540"/>
      <c r="AA58" s="540"/>
      <c r="AB58" s="541"/>
      <c r="AC58" s="539"/>
      <c r="AD58" s="540"/>
      <c r="AE58" s="540"/>
      <c r="AF58" s="541"/>
      <c r="AG58" s="539"/>
      <c r="AH58" s="540"/>
      <c r="AI58" s="540"/>
      <c r="AJ58" s="591"/>
    </row>
    <row r="60" spans="2:36" x14ac:dyDescent="0.25">
      <c r="D60" s="250"/>
    </row>
  </sheetData>
  <mergeCells count="286">
    <mergeCell ref="S9:U9"/>
    <mergeCell ref="C11:AF11"/>
    <mergeCell ref="B49:B51"/>
    <mergeCell ref="C49:C51"/>
    <mergeCell ref="E49:H49"/>
    <mergeCell ref="I49:L49"/>
    <mergeCell ref="M49:P49"/>
    <mergeCell ref="Q49:T49"/>
    <mergeCell ref="U49:X49"/>
    <mergeCell ref="Y49:AB49"/>
    <mergeCell ref="AC49:AF49"/>
    <mergeCell ref="E51:H51"/>
    <mergeCell ref="I51:L51"/>
    <mergeCell ref="M51:P51"/>
    <mergeCell ref="Q51:T51"/>
    <mergeCell ref="U51:X51"/>
    <mergeCell ref="Y51:AB51"/>
    <mergeCell ref="AC51:AF51"/>
    <mergeCell ref="B46:B48"/>
    <mergeCell ref="C46:C48"/>
    <mergeCell ref="E46:H46"/>
    <mergeCell ref="I46:L46"/>
    <mergeCell ref="M46:P46"/>
    <mergeCell ref="Q46:T46"/>
    <mergeCell ref="U46:X46"/>
    <mergeCell ref="Y46:AB46"/>
    <mergeCell ref="AC46:AF46"/>
    <mergeCell ref="E48:H48"/>
    <mergeCell ref="I48:L48"/>
    <mergeCell ref="M48:P48"/>
    <mergeCell ref="Q48:T48"/>
    <mergeCell ref="U48:X48"/>
    <mergeCell ref="Y48:AB48"/>
    <mergeCell ref="AC48:AF48"/>
    <mergeCell ref="Q42:T42"/>
    <mergeCell ref="U42:X42"/>
    <mergeCell ref="Y42:AB42"/>
    <mergeCell ref="AC42:AF42"/>
    <mergeCell ref="AG42:AJ42"/>
    <mergeCell ref="B43:B45"/>
    <mergeCell ref="C43:C45"/>
    <mergeCell ref="E43:H43"/>
    <mergeCell ref="I43:L43"/>
    <mergeCell ref="M43:P43"/>
    <mergeCell ref="Q43:T43"/>
    <mergeCell ref="U43:X43"/>
    <mergeCell ref="Y43:AB43"/>
    <mergeCell ref="AC43:AF43"/>
    <mergeCell ref="AG43:AJ43"/>
    <mergeCell ref="E45:H45"/>
    <mergeCell ref="I45:L45"/>
    <mergeCell ref="M45:P45"/>
    <mergeCell ref="Q45:T45"/>
    <mergeCell ref="U45:X45"/>
    <mergeCell ref="Y45:AB45"/>
    <mergeCell ref="AC45:AF45"/>
    <mergeCell ref="AG45:AJ45"/>
    <mergeCell ref="AC58:AF58"/>
    <mergeCell ref="AG58:AJ58"/>
    <mergeCell ref="AC57:AF57"/>
    <mergeCell ref="AG55:AJ55"/>
    <mergeCell ref="AC56:AF56"/>
    <mergeCell ref="AG56:AJ56"/>
    <mergeCell ref="AC55:AF55"/>
    <mergeCell ref="AC36:AF36"/>
    <mergeCell ref="AG36:AJ36"/>
    <mergeCell ref="AG52:AJ52"/>
    <mergeCell ref="AC54:AF54"/>
    <mergeCell ref="AG54:AJ54"/>
    <mergeCell ref="AC52:AF52"/>
    <mergeCell ref="AG37:AJ37"/>
    <mergeCell ref="AC39:AF39"/>
    <mergeCell ref="AG39:AJ39"/>
    <mergeCell ref="AC37:AF37"/>
    <mergeCell ref="AG57:AJ57"/>
    <mergeCell ref="AC40:AF40"/>
    <mergeCell ref="AG40:AJ40"/>
    <mergeCell ref="AG46:AJ46"/>
    <mergeCell ref="AG48:AJ48"/>
    <mergeCell ref="AG49:AJ49"/>
    <mergeCell ref="AG51:AJ51"/>
    <mergeCell ref="AC33:AF33"/>
    <mergeCell ref="AG33:AJ33"/>
    <mergeCell ref="AC31:AF31"/>
    <mergeCell ref="AG28:AJ28"/>
    <mergeCell ref="AC30:AF30"/>
    <mergeCell ref="AG30:AJ30"/>
    <mergeCell ref="AC28:AF28"/>
    <mergeCell ref="AG34:AJ34"/>
    <mergeCell ref="AC34:AF34"/>
    <mergeCell ref="AC19:AF19"/>
    <mergeCell ref="AG25:AJ25"/>
    <mergeCell ref="AC27:AF27"/>
    <mergeCell ref="AG27:AJ27"/>
    <mergeCell ref="AC25:AF25"/>
    <mergeCell ref="AG22:AJ22"/>
    <mergeCell ref="AC24:AF24"/>
    <mergeCell ref="AG24:AJ24"/>
    <mergeCell ref="AG31:AJ31"/>
    <mergeCell ref="AH7:AJ7"/>
    <mergeCell ref="AH8:AJ8"/>
    <mergeCell ref="AH9:AJ9"/>
    <mergeCell ref="AH10:AJ10"/>
    <mergeCell ref="M14:P14"/>
    <mergeCell ref="AC14:AF14"/>
    <mergeCell ref="M52:P52"/>
    <mergeCell ref="AH11:AJ11"/>
    <mergeCell ref="AG14:AJ14"/>
    <mergeCell ref="E13:AJ13"/>
    <mergeCell ref="E34:H34"/>
    <mergeCell ref="I34:L34"/>
    <mergeCell ref="E36:H36"/>
    <mergeCell ref="I36:L36"/>
    <mergeCell ref="M34:P34"/>
    <mergeCell ref="M36:P36"/>
    <mergeCell ref="AG16:AJ16"/>
    <mergeCell ref="AC18:AF18"/>
    <mergeCell ref="AG18:AJ18"/>
    <mergeCell ref="AC16:AF16"/>
    <mergeCell ref="AC22:AF22"/>
    <mergeCell ref="AG19:AJ19"/>
    <mergeCell ref="AC21:AF21"/>
    <mergeCell ref="AG21:AJ21"/>
    <mergeCell ref="Y33:AB33"/>
    <mergeCell ref="U31:X31"/>
    <mergeCell ref="U33:X33"/>
    <mergeCell ref="Q31:T31"/>
    <mergeCell ref="Q33:T33"/>
    <mergeCell ref="E31:H31"/>
    <mergeCell ref="M54:P54"/>
    <mergeCell ref="E37:H37"/>
    <mergeCell ref="I37:L37"/>
    <mergeCell ref="E39:H39"/>
    <mergeCell ref="I39:L39"/>
    <mergeCell ref="M37:P37"/>
    <mergeCell ref="M39:P39"/>
    <mergeCell ref="E52:H52"/>
    <mergeCell ref="I52:L52"/>
    <mergeCell ref="E54:H54"/>
    <mergeCell ref="I54:L54"/>
    <mergeCell ref="Q54:T54"/>
    <mergeCell ref="E40:H40"/>
    <mergeCell ref="I40:L40"/>
    <mergeCell ref="M40:P40"/>
    <mergeCell ref="Q40:T40"/>
    <mergeCell ref="U40:X40"/>
    <mergeCell ref="Y40:AB40"/>
    <mergeCell ref="Y28:AB28"/>
    <mergeCell ref="Y30:AB30"/>
    <mergeCell ref="U30:X30"/>
    <mergeCell ref="Q28:T28"/>
    <mergeCell ref="Q30:T30"/>
    <mergeCell ref="E28:H28"/>
    <mergeCell ref="I31:L31"/>
    <mergeCell ref="M31:P31"/>
    <mergeCell ref="Y31:AB31"/>
    <mergeCell ref="C28:C30"/>
    <mergeCell ref="B31:B33"/>
    <mergeCell ref="M55:P55"/>
    <mergeCell ref="M57:P57"/>
    <mergeCell ref="M58:P58"/>
    <mergeCell ref="I28:L28"/>
    <mergeCell ref="E30:H30"/>
    <mergeCell ref="I30:L30"/>
    <mergeCell ref="M28:P28"/>
    <mergeCell ref="M30:P30"/>
    <mergeCell ref="E56:H56"/>
    <mergeCell ref="E57:H57"/>
    <mergeCell ref="E58:H58"/>
    <mergeCell ref="I56:L56"/>
    <mergeCell ref="M56:P56"/>
    <mergeCell ref="I57:L57"/>
    <mergeCell ref="I58:L58"/>
    <mergeCell ref="E55:H55"/>
    <mergeCell ref="I55:L55"/>
    <mergeCell ref="B40:B42"/>
    <mergeCell ref="C40:C42"/>
    <mergeCell ref="E42:H42"/>
    <mergeCell ref="I42:L42"/>
    <mergeCell ref="M42:P42"/>
    <mergeCell ref="I21:L21"/>
    <mergeCell ref="M19:P19"/>
    <mergeCell ref="M21:P21"/>
    <mergeCell ref="Q27:T27"/>
    <mergeCell ref="E19:H19"/>
    <mergeCell ref="E21:H21"/>
    <mergeCell ref="E33:H33"/>
    <mergeCell ref="B52:B54"/>
    <mergeCell ref="C52:C54"/>
    <mergeCell ref="B37:B39"/>
    <mergeCell ref="C37:C39"/>
    <mergeCell ref="M25:P25"/>
    <mergeCell ref="M27:P27"/>
    <mergeCell ref="E22:H22"/>
    <mergeCell ref="I22:L22"/>
    <mergeCell ref="E24:H24"/>
    <mergeCell ref="I24:L24"/>
    <mergeCell ref="M22:P22"/>
    <mergeCell ref="C31:C33"/>
    <mergeCell ref="I33:L33"/>
    <mergeCell ref="M33:P33"/>
    <mergeCell ref="B34:B36"/>
    <mergeCell ref="C34:C36"/>
    <mergeCell ref="B28:B30"/>
    <mergeCell ref="Y58:AB58"/>
    <mergeCell ref="I14:L14"/>
    <mergeCell ref="E16:H16"/>
    <mergeCell ref="I16:L16"/>
    <mergeCell ref="Y19:AB19"/>
    <mergeCell ref="Y21:AB21"/>
    <mergeCell ref="Y22:AB22"/>
    <mergeCell ref="Y24:AB24"/>
    <mergeCell ref="Y55:AB55"/>
    <mergeCell ref="U14:X14"/>
    <mergeCell ref="U16:X16"/>
    <mergeCell ref="E25:H25"/>
    <mergeCell ref="I25:L25"/>
    <mergeCell ref="E27:H27"/>
    <mergeCell ref="I27:L27"/>
    <mergeCell ref="M24:P24"/>
    <mergeCell ref="I18:L18"/>
    <mergeCell ref="M16:P16"/>
    <mergeCell ref="M18:P18"/>
    <mergeCell ref="Y25:AB25"/>
    <mergeCell ref="Y27:AB27"/>
    <mergeCell ref="I19:L19"/>
    <mergeCell ref="Q19:T19"/>
    <mergeCell ref="Q21:T21"/>
    <mergeCell ref="B25:B27"/>
    <mergeCell ref="C25:C27"/>
    <mergeCell ref="B16:B18"/>
    <mergeCell ref="C16:C18"/>
    <mergeCell ref="B19:B21"/>
    <mergeCell ref="C19:C21"/>
    <mergeCell ref="B22:B24"/>
    <mergeCell ref="C22:C24"/>
    <mergeCell ref="B13:B15"/>
    <mergeCell ref="C13:C15"/>
    <mergeCell ref="Q55:T55"/>
    <mergeCell ref="Q56:T56"/>
    <mergeCell ref="Q57:T57"/>
    <mergeCell ref="U28:X28"/>
    <mergeCell ref="D13:D15"/>
    <mergeCell ref="Y34:AB34"/>
    <mergeCell ref="Y36:AB36"/>
    <mergeCell ref="Y37:AB37"/>
    <mergeCell ref="Y39:AB39"/>
    <mergeCell ref="Q14:T14"/>
    <mergeCell ref="Q16:T16"/>
    <mergeCell ref="Q18:T18"/>
    <mergeCell ref="E18:H18"/>
    <mergeCell ref="Y14:AB14"/>
    <mergeCell ref="Y16:AB16"/>
    <mergeCell ref="Y18:AB18"/>
    <mergeCell ref="E14:H14"/>
    <mergeCell ref="Y52:AB52"/>
    <mergeCell ref="Y54:AB54"/>
    <mergeCell ref="Y56:AB56"/>
    <mergeCell ref="Y57:AB57"/>
    <mergeCell ref="Q22:T22"/>
    <mergeCell ref="Q24:T24"/>
    <mergeCell ref="Q25:T25"/>
    <mergeCell ref="B1:AJ6"/>
    <mergeCell ref="U18:X18"/>
    <mergeCell ref="U19:X19"/>
    <mergeCell ref="U21:X21"/>
    <mergeCell ref="U22:X22"/>
    <mergeCell ref="U24:X24"/>
    <mergeCell ref="U25:X25"/>
    <mergeCell ref="U27:X27"/>
    <mergeCell ref="Q58:T58"/>
    <mergeCell ref="U34:X34"/>
    <mergeCell ref="U36:X36"/>
    <mergeCell ref="U37:X37"/>
    <mergeCell ref="U39:X39"/>
    <mergeCell ref="U52:X52"/>
    <mergeCell ref="U54:X54"/>
    <mergeCell ref="U55:X55"/>
    <mergeCell ref="U56:X56"/>
    <mergeCell ref="U57:X57"/>
    <mergeCell ref="U58:X58"/>
    <mergeCell ref="Q34:T34"/>
    <mergeCell ref="Q36:T36"/>
    <mergeCell ref="Q37:T37"/>
    <mergeCell ref="Q39:T39"/>
    <mergeCell ref="Q52:T52"/>
  </mergeCells>
  <printOptions horizontalCentered="1"/>
  <pageMargins left="0.51181102362204722" right="0.51181102362204722" top="0.59055118110236227" bottom="0.98425196850393704" header="0.31496062992125984" footer="0.31496062992125984"/>
  <pageSetup paperSize="9" scale="69" orientation="landscape" horizontalDpi="1200" verticalDpi="1200" r:id="rId1"/>
  <headerFooter>
    <oddFooter>&amp;L&amp;"Arial Narrow,Normal"&amp;10&amp;A
&amp;F&amp;C&amp;"Arial Narrow,Negrito"&amp;10ENG. CIVIL THIAGO ALVES SILVA&amp;"Arial Narrow,Normal"
CREA 1004804750/D-GO&amp;R&amp;"Arial Narrow,Normal"&amp;10Página &amp;P de &amp;N</oddFooter>
  </headerFooter>
  <rowBreaks count="1" manualBreakCount="1">
    <brk id="42" max="36" man="1"/>
  </rowBreak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5">
    <tabColor theme="6"/>
  </sheetPr>
  <dimension ref="B1:O156"/>
  <sheetViews>
    <sheetView showGridLines="0" showZeros="0" view="pageBreakPreview" zoomScale="85" zoomScaleNormal="100" zoomScaleSheetLayoutView="85" workbookViewId="0">
      <selection activeCell="C11" sqref="C11:G12"/>
    </sheetView>
  </sheetViews>
  <sheetFormatPr defaultColWidth="9.140625" defaultRowHeight="12.75" x14ac:dyDescent="0.25"/>
  <cols>
    <col min="1" max="1" width="6.42578125" style="140" customWidth="1"/>
    <col min="2" max="2" width="12.85546875" style="140" customWidth="1"/>
    <col min="3" max="3" width="11.42578125" style="140" customWidth="1"/>
    <col min="4" max="4" width="80.42578125" style="140" customWidth="1"/>
    <col min="5" max="5" width="10.85546875" style="141" customWidth="1"/>
    <col min="6" max="6" width="9.140625" style="142" customWidth="1"/>
    <col min="7" max="7" width="15" style="142" bestFit="1" customWidth="1"/>
    <col min="8" max="8" width="16" style="142" customWidth="1"/>
    <col min="9" max="9" width="11.85546875" style="142" customWidth="1"/>
    <col min="10" max="10" width="11.5703125" style="142" customWidth="1"/>
    <col min="11" max="11" width="1.5703125" style="140" customWidth="1"/>
    <col min="12" max="16384" width="9.140625" style="140"/>
  </cols>
  <sheetData>
    <row r="1" spans="2:15" s="21" customFormat="1" ht="9.9499999999999993" customHeight="1" x14ac:dyDescent="0.25">
      <c r="B1" s="479" t="s">
        <v>324</v>
      </c>
      <c r="C1" s="479"/>
      <c r="D1" s="479"/>
      <c r="E1" s="479"/>
      <c r="F1" s="479"/>
      <c r="G1" s="479"/>
      <c r="H1" s="479"/>
      <c r="I1" s="479"/>
      <c r="J1" s="479"/>
      <c r="K1" s="143"/>
      <c r="L1" s="143"/>
      <c r="M1" s="143"/>
      <c r="N1" s="143"/>
      <c r="O1" s="143"/>
    </row>
    <row r="2" spans="2:15" s="21" customFormat="1" ht="9.9499999999999993" customHeight="1" x14ac:dyDescent="0.25">
      <c r="B2" s="479"/>
      <c r="C2" s="479"/>
      <c r="D2" s="479"/>
      <c r="E2" s="479"/>
      <c r="F2" s="479"/>
      <c r="G2" s="479"/>
      <c r="H2" s="479"/>
      <c r="I2" s="479"/>
      <c r="J2" s="479"/>
      <c r="K2" s="143"/>
      <c r="L2" s="143"/>
      <c r="M2" s="143"/>
      <c r="N2" s="143"/>
      <c r="O2" s="143"/>
    </row>
    <row r="3" spans="2:15" s="21" customFormat="1" ht="9.9499999999999993" customHeight="1" x14ac:dyDescent="0.25">
      <c r="B3" s="479"/>
      <c r="C3" s="479"/>
      <c r="D3" s="479"/>
      <c r="E3" s="479"/>
      <c r="F3" s="479"/>
      <c r="G3" s="479"/>
      <c r="H3" s="479"/>
      <c r="I3" s="479"/>
      <c r="J3" s="479"/>
      <c r="K3" s="143"/>
      <c r="L3" s="143"/>
      <c r="M3" s="143"/>
      <c r="N3" s="143"/>
      <c r="O3" s="143"/>
    </row>
    <row r="4" spans="2:15" s="21" customFormat="1" ht="9.9499999999999993" customHeight="1" x14ac:dyDescent="0.25">
      <c r="B4" s="479"/>
      <c r="C4" s="479"/>
      <c r="D4" s="479"/>
      <c r="E4" s="479"/>
      <c r="F4" s="479"/>
      <c r="G4" s="479"/>
      <c r="H4" s="479"/>
      <c r="I4" s="479"/>
      <c r="J4" s="479"/>
      <c r="K4" s="143"/>
      <c r="L4" s="143"/>
      <c r="M4" s="143"/>
      <c r="N4" s="143"/>
      <c r="O4" s="143"/>
    </row>
    <row r="5" spans="2:15" s="21" customFormat="1" ht="9.9499999999999993" customHeight="1" x14ac:dyDescent="0.25">
      <c r="B5" s="479"/>
      <c r="C5" s="479"/>
      <c r="D5" s="479"/>
      <c r="E5" s="479"/>
      <c r="F5" s="479"/>
      <c r="G5" s="479"/>
      <c r="H5" s="479"/>
      <c r="I5" s="479"/>
      <c r="J5" s="479"/>
      <c r="K5" s="143"/>
      <c r="L5" s="143"/>
      <c r="M5" s="143"/>
      <c r="N5" s="143"/>
      <c r="O5" s="143"/>
    </row>
    <row r="6" spans="2:15" s="21" customFormat="1" ht="9.9499999999999993" customHeight="1" x14ac:dyDescent="0.25">
      <c r="B6" s="479"/>
      <c r="C6" s="479"/>
      <c r="D6" s="479"/>
      <c r="E6" s="479"/>
      <c r="F6" s="479"/>
      <c r="G6" s="479"/>
      <c r="H6" s="479"/>
      <c r="I6" s="479"/>
      <c r="J6" s="479"/>
      <c r="K6" s="143"/>
      <c r="L6" s="143"/>
      <c r="M6" s="143"/>
      <c r="N6" s="143"/>
      <c r="O6" s="143"/>
    </row>
    <row r="7" spans="2:15" s="21" customFormat="1" x14ac:dyDescent="0.25">
      <c r="E7" s="22"/>
      <c r="F7" s="23"/>
      <c r="G7" s="23"/>
      <c r="H7" s="23"/>
    </row>
    <row r="8" spans="2:15" s="12" customFormat="1" ht="15" customHeight="1" x14ac:dyDescent="0.25">
      <c r="B8" s="8" t="s">
        <v>49</v>
      </c>
      <c r="C8" s="13" t="str">
        <f>'DADOS DA OBRA'!$B$13</f>
        <v>TRIBUNAL REGIONAL ELEITORAL - PIAUÍ</v>
      </c>
      <c r="E8" s="137"/>
      <c r="F8" s="86" t="s">
        <v>144</v>
      </c>
      <c r="G8" s="259" t="str">
        <f>+'DADOS DA OBRA'!$N$25</f>
        <v>22/11/2021</v>
      </c>
      <c r="H8" s="122"/>
      <c r="I8" s="10" t="s">
        <v>70</v>
      </c>
      <c r="J8" s="52">
        <f>+'DADOS DA OBRA'!$J$25</f>
        <v>1.1186</v>
      </c>
      <c r="K8" s="9"/>
    </row>
    <row r="9" spans="2:15" s="12" customFormat="1" ht="15" customHeight="1" x14ac:dyDescent="0.25">
      <c r="B9" s="8" t="s">
        <v>68</v>
      </c>
      <c r="C9" s="13" t="str">
        <f>'DADOS DA OBRA'!$B$16</f>
        <v>SUBSTITUIÇÃO DE INSTALAÇÕES ELÉTRICAS E CABEAMENTO ESTRUTURADO - EDIFÍCIO ANEXO</v>
      </c>
      <c r="E9" s="137"/>
      <c r="F9" s="258" t="s">
        <v>51</v>
      </c>
      <c r="G9" s="259">
        <f>'DADOS DA OBRA'!$N$28</f>
        <v>44733</v>
      </c>
      <c r="H9" s="123"/>
      <c r="I9" s="10" t="s">
        <v>71</v>
      </c>
      <c r="J9" s="52">
        <f>+'DADOS DA OBRA'!$J$28</f>
        <v>0.70630000000000004</v>
      </c>
    </row>
    <row r="10" spans="2:15" s="12" customFormat="1" ht="15" customHeight="1" x14ac:dyDescent="0.25">
      <c r="B10" s="8" t="s">
        <v>52</v>
      </c>
      <c r="C10" s="9" t="str">
        <f>+""&amp;'DADOS DA OBRA'!$B$19&amp;", "&amp;'DADOS DA OBRA'!$J$22&amp;", "&amp;'DADOS DA OBRA'!$P$22</f>
        <v>PRAÇA EDGAR NOGUEIRA, TERESINA, PI</v>
      </c>
      <c r="E10" s="137"/>
      <c r="F10" s="86" t="s">
        <v>145</v>
      </c>
      <c r="G10" s="259" t="str">
        <f>+'DADOS DA OBRA'!$B$28</f>
        <v>05 MESES</v>
      </c>
      <c r="H10" s="123"/>
      <c r="I10" s="10" t="s">
        <v>138</v>
      </c>
      <c r="J10" s="52">
        <f>+'DADOS DA OBRA'!$F$25</f>
        <v>0.21960000000000002</v>
      </c>
    </row>
    <row r="11" spans="2:15" s="12" customFormat="1" ht="44.45" customHeight="1" x14ac:dyDescent="0.25">
      <c r="B11" s="8" t="s">
        <v>69</v>
      </c>
      <c r="C11" s="522" t="str">
        <f>+'DADOS DA OBRA'!$B$31</f>
        <v>SINAPI - 04/2022 - PIAUÍ 	 SBC - 05/2022 - TSA - Teresina - PI ORSE - 03/2022 - SERGIPE 	 SETOP - 03/2022 - Minas Gerais - Central SUDECAP - 02/2022 - MINAS GERAIS 	 CPOS - 02/2022 - São Paulo AGESUL - 01/2022 - MATO GROSSO DO SUL 	 AGETOP CIVIL - 04/2022 - Goiás EMOP - 04/2022 - RIO DE JANEIRO</v>
      </c>
      <c r="D11" s="522"/>
      <c r="E11" s="522"/>
      <c r="F11" s="522"/>
      <c r="G11" s="522"/>
      <c r="H11" s="123"/>
      <c r="I11" s="10" t="s">
        <v>139</v>
      </c>
      <c r="J11" s="52">
        <f>+'DADOS DA OBRA'!$F$28</f>
        <v>0.1527</v>
      </c>
      <c r="M11" s="10"/>
    </row>
    <row r="12" spans="2:15" s="20" customFormat="1" ht="6.95" customHeight="1" thickBot="1" x14ac:dyDescent="0.3">
      <c r="C12" s="611"/>
      <c r="D12" s="611"/>
      <c r="E12" s="611"/>
      <c r="F12" s="611"/>
      <c r="G12" s="611"/>
      <c r="H12" s="80"/>
      <c r="J12" s="73"/>
      <c r="K12" s="74"/>
    </row>
    <row r="13" spans="2:15" ht="20.100000000000001" customHeight="1" x14ac:dyDescent="0.25">
      <c r="B13" s="603" t="s">
        <v>45</v>
      </c>
      <c r="C13" s="605" t="s">
        <v>44</v>
      </c>
      <c r="D13" s="607" t="s">
        <v>11</v>
      </c>
      <c r="E13" s="609" t="s">
        <v>24</v>
      </c>
      <c r="F13" s="609" t="s">
        <v>12</v>
      </c>
      <c r="G13" s="609" t="s">
        <v>20</v>
      </c>
      <c r="H13" s="609" t="s">
        <v>14</v>
      </c>
      <c r="I13" s="601" t="s">
        <v>25</v>
      </c>
      <c r="J13" s="596" t="s">
        <v>26</v>
      </c>
    </row>
    <row r="14" spans="2:15" ht="20.100000000000001" customHeight="1" x14ac:dyDescent="0.25">
      <c r="B14" s="604"/>
      <c r="C14" s="606"/>
      <c r="D14" s="608"/>
      <c r="E14" s="610"/>
      <c r="F14" s="610"/>
      <c r="G14" s="610"/>
      <c r="H14" s="610"/>
      <c r="I14" s="602"/>
      <c r="J14" s="597"/>
    </row>
    <row r="15" spans="2:15" s="109" customFormat="1" ht="15" x14ac:dyDescent="0.25">
      <c r="B15" s="457" t="s">
        <v>861</v>
      </c>
      <c r="C15" s="457" t="s">
        <v>124</v>
      </c>
      <c r="D15" s="458" t="s">
        <v>1349</v>
      </c>
      <c r="E15" s="457" t="s">
        <v>35</v>
      </c>
      <c r="F15" s="457">
        <v>300</v>
      </c>
      <c r="G15" s="459">
        <v>413.84</v>
      </c>
      <c r="H15" s="459">
        <v>124154.06</v>
      </c>
      <c r="I15" s="460">
        <f t="shared" ref="I15:I46" si="0">H15/$H$156</f>
        <v>0.11062723439211697</v>
      </c>
      <c r="J15" s="419">
        <f>+I15</f>
        <v>0.11062723439211697</v>
      </c>
      <c r="L15" s="138"/>
      <c r="M15" s="138"/>
    </row>
    <row r="16" spans="2:15" s="109" customFormat="1" ht="15" x14ac:dyDescent="0.25">
      <c r="B16" s="457" t="s">
        <v>727</v>
      </c>
      <c r="C16" s="457" t="s">
        <v>31</v>
      </c>
      <c r="D16" s="458" t="s">
        <v>728</v>
      </c>
      <c r="E16" s="457" t="s">
        <v>119</v>
      </c>
      <c r="F16" s="457">
        <v>5</v>
      </c>
      <c r="G16" s="459">
        <v>19561.95</v>
      </c>
      <c r="H16" s="461">
        <v>97809.78</v>
      </c>
      <c r="I16" s="460">
        <f t="shared" si="0"/>
        <v>8.7153214787348832E-2</v>
      </c>
      <c r="J16" s="419">
        <f>+I16+J15</f>
        <v>0.1977804491794658</v>
      </c>
      <c r="L16" s="138"/>
      <c r="M16" s="138"/>
    </row>
    <row r="17" spans="2:13" s="109" customFormat="1" ht="42.75" x14ac:dyDescent="0.25">
      <c r="B17" s="457" t="s">
        <v>858</v>
      </c>
      <c r="C17" s="457" t="s">
        <v>849</v>
      </c>
      <c r="D17" s="458" t="s">
        <v>859</v>
      </c>
      <c r="E17" s="457" t="s">
        <v>851</v>
      </c>
      <c r="F17" s="457">
        <v>13805.4</v>
      </c>
      <c r="G17" s="459">
        <v>5.58</v>
      </c>
      <c r="H17" s="459">
        <v>77113.759999999995</v>
      </c>
      <c r="I17" s="460">
        <f t="shared" si="0"/>
        <v>6.871206630195946E-2</v>
      </c>
      <c r="J17" s="419">
        <f t="shared" ref="J17:J80" si="1">+I17+J16</f>
        <v>0.26649251548142527</v>
      </c>
      <c r="L17" s="138"/>
      <c r="M17" s="138"/>
    </row>
    <row r="18" spans="2:13" s="109" customFormat="1" ht="28.5" x14ac:dyDescent="0.25">
      <c r="B18" s="457">
        <v>90953</v>
      </c>
      <c r="C18" s="457" t="s">
        <v>1340</v>
      </c>
      <c r="D18" s="458" t="s">
        <v>1368</v>
      </c>
      <c r="E18" s="457" t="s">
        <v>22</v>
      </c>
      <c r="F18" s="457">
        <v>150</v>
      </c>
      <c r="G18" s="459">
        <v>346.96</v>
      </c>
      <c r="H18" s="459">
        <v>52044.6</v>
      </c>
      <c r="I18" s="460">
        <f t="shared" si="0"/>
        <v>4.6374239900362269E-2</v>
      </c>
      <c r="J18" s="419">
        <f t="shared" si="1"/>
        <v>0.31286675538178754</v>
      </c>
      <c r="L18" s="138"/>
      <c r="M18" s="138"/>
    </row>
    <row r="19" spans="2:13" s="109" customFormat="1" ht="28.5" x14ac:dyDescent="0.25">
      <c r="B19" s="457" t="s">
        <v>752</v>
      </c>
      <c r="C19" s="457" t="s">
        <v>31</v>
      </c>
      <c r="D19" s="458" t="s">
        <v>753</v>
      </c>
      <c r="E19" s="457" t="s">
        <v>35</v>
      </c>
      <c r="F19" s="457">
        <v>10469.5</v>
      </c>
      <c r="G19" s="459">
        <v>4.6399999999999997</v>
      </c>
      <c r="H19" s="459">
        <v>48648.37</v>
      </c>
      <c r="I19" s="460">
        <f t="shared" si="0"/>
        <v>4.3348035745141414E-2</v>
      </c>
      <c r="J19" s="419">
        <f t="shared" si="1"/>
        <v>0.35621479112692894</v>
      </c>
      <c r="L19" s="138"/>
      <c r="M19" s="138"/>
    </row>
    <row r="20" spans="2:13" s="109" customFormat="1" ht="28.5" x14ac:dyDescent="0.25">
      <c r="B20" s="457" t="s">
        <v>733</v>
      </c>
      <c r="C20" s="457" t="s">
        <v>124</v>
      </c>
      <c r="D20" s="458" t="s">
        <v>569</v>
      </c>
      <c r="E20" s="457" t="s">
        <v>2</v>
      </c>
      <c r="F20" s="457">
        <v>1277.68</v>
      </c>
      <c r="G20" s="459">
        <v>29.89</v>
      </c>
      <c r="H20" s="459">
        <v>38192.910000000003</v>
      </c>
      <c r="I20" s="460">
        <f t="shared" si="0"/>
        <v>3.4031718388323577E-2</v>
      </c>
      <c r="J20" s="419">
        <f t="shared" si="1"/>
        <v>0.39024650951525253</v>
      </c>
      <c r="L20" s="138"/>
      <c r="M20" s="138"/>
    </row>
    <row r="21" spans="2:13" s="109" customFormat="1" ht="15" x14ac:dyDescent="0.25">
      <c r="B21" s="457" t="s">
        <v>1352</v>
      </c>
      <c r="C21" s="457" t="s">
        <v>124</v>
      </c>
      <c r="D21" s="458" t="s">
        <v>302</v>
      </c>
      <c r="E21" s="457" t="s">
        <v>35</v>
      </c>
      <c r="F21" s="457">
        <v>588.6</v>
      </c>
      <c r="G21" s="459">
        <v>60.05</v>
      </c>
      <c r="H21" s="459">
        <v>35347.25</v>
      </c>
      <c r="I21" s="460">
        <f t="shared" si="0"/>
        <v>3.1496098563887132E-2</v>
      </c>
      <c r="J21" s="419">
        <f t="shared" si="1"/>
        <v>0.42174260807913966</v>
      </c>
      <c r="L21" s="138"/>
      <c r="M21" s="138"/>
    </row>
    <row r="22" spans="2:13" s="109" customFormat="1" ht="15" x14ac:dyDescent="0.25">
      <c r="B22" s="457" t="s">
        <v>1051</v>
      </c>
      <c r="C22" s="457" t="s">
        <v>31</v>
      </c>
      <c r="D22" s="458" t="s">
        <v>1052</v>
      </c>
      <c r="E22" s="457" t="s">
        <v>119</v>
      </c>
      <c r="F22" s="457">
        <v>5</v>
      </c>
      <c r="G22" s="459">
        <v>6588.25</v>
      </c>
      <c r="H22" s="461">
        <v>32941.269999999997</v>
      </c>
      <c r="I22" s="460">
        <f t="shared" si="0"/>
        <v>2.9352254750783104E-2</v>
      </c>
      <c r="J22" s="419">
        <f>+I22+J28</f>
        <v>0.58292447890083687</v>
      </c>
      <c r="L22" s="138"/>
      <c r="M22" s="138"/>
    </row>
    <row r="23" spans="2:13" s="109" customFormat="1" ht="28.5" x14ac:dyDescent="0.25">
      <c r="B23" s="457" t="s">
        <v>762</v>
      </c>
      <c r="C23" s="457" t="s">
        <v>31</v>
      </c>
      <c r="D23" s="458" t="s">
        <v>763</v>
      </c>
      <c r="E23" s="457" t="s">
        <v>22</v>
      </c>
      <c r="F23" s="457">
        <v>30</v>
      </c>
      <c r="G23" s="459">
        <v>1097.96</v>
      </c>
      <c r="H23" s="459">
        <v>32939.07</v>
      </c>
      <c r="I23" s="460">
        <f t="shared" si="0"/>
        <v>2.9350294445049548E-2</v>
      </c>
      <c r="J23" s="419">
        <f>+I23+J21</f>
        <v>0.45109290252418921</v>
      </c>
      <c r="L23" s="138"/>
      <c r="M23" s="138"/>
    </row>
    <row r="24" spans="2:13" s="109" customFormat="1" ht="15" x14ac:dyDescent="0.25">
      <c r="B24" s="457" t="s">
        <v>1025</v>
      </c>
      <c r="C24" s="457" t="s">
        <v>874</v>
      </c>
      <c r="D24" s="458" t="s">
        <v>1026</v>
      </c>
      <c r="E24" s="457" t="s">
        <v>824</v>
      </c>
      <c r="F24" s="457">
        <v>960</v>
      </c>
      <c r="G24" s="459">
        <v>31.85</v>
      </c>
      <c r="H24" s="459">
        <v>30581.71</v>
      </c>
      <c r="I24" s="460">
        <f t="shared" si="0"/>
        <v>2.7249773388657184E-2</v>
      </c>
      <c r="J24" s="419">
        <f t="shared" si="1"/>
        <v>0.4783426759128464</v>
      </c>
      <c r="L24" s="138"/>
      <c r="M24" s="138"/>
    </row>
    <row r="25" spans="2:13" s="109" customFormat="1" ht="15" x14ac:dyDescent="0.25">
      <c r="B25" s="457" t="s">
        <v>118</v>
      </c>
      <c r="C25" s="457" t="s">
        <v>31</v>
      </c>
      <c r="D25" s="458" t="s">
        <v>112</v>
      </c>
      <c r="E25" s="457" t="s">
        <v>119</v>
      </c>
      <c r="F25" s="457">
        <v>5</v>
      </c>
      <c r="G25" s="459">
        <v>6096.46</v>
      </c>
      <c r="H25" s="461">
        <v>30482.31</v>
      </c>
      <c r="I25" s="460">
        <f t="shared" si="0"/>
        <v>2.7161203211422739E-2</v>
      </c>
      <c r="J25" s="419">
        <f>+I25+J29</f>
        <v>0.63260951479652983</v>
      </c>
      <c r="L25" s="138"/>
      <c r="M25" s="138"/>
    </row>
    <row r="26" spans="2:13" s="109" customFormat="1" ht="15" x14ac:dyDescent="0.25">
      <c r="B26" s="457" t="s">
        <v>732</v>
      </c>
      <c r="C26" s="457" t="s">
        <v>212</v>
      </c>
      <c r="D26" s="458" t="s">
        <v>719</v>
      </c>
      <c r="E26" s="457" t="s">
        <v>2</v>
      </c>
      <c r="F26" s="457">
        <v>2129.4650000000001</v>
      </c>
      <c r="G26" s="459">
        <v>14.2</v>
      </c>
      <c r="H26" s="459">
        <v>30256.16</v>
      </c>
      <c r="I26" s="460">
        <f t="shared" si="0"/>
        <v>2.6959692692493455E-2</v>
      </c>
      <c r="J26" s="419">
        <f>+I26+J24</f>
        <v>0.50530236860533984</v>
      </c>
      <c r="L26" s="138"/>
      <c r="M26" s="138"/>
    </row>
    <row r="27" spans="2:13" s="109" customFormat="1" ht="28.5" x14ac:dyDescent="0.25">
      <c r="B27" s="457">
        <v>100903</v>
      </c>
      <c r="C27" s="457" t="s">
        <v>31</v>
      </c>
      <c r="D27" s="458" t="s">
        <v>1369</v>
      </c>
      <c r="E27" s="457" t="s">
        <v>22</v>
      </c>
      <c r="F27" s="457">
        <v>702</v>
      </c>
      <c r="G27" s="459">
        <v>38.840000000000003</v>
      </c>
      <c r="H27" s="459">
        <v>27268.67</v>
      </c>
      <c r="I27" s="460">
        <f t="shared" si="0"/>
        <v>2.4297695521606689E-2</v>
      </c>
      <c r="J27" s="419">
        <f t="shared" si="1"/>
        <v>0.52960006412694649</v>
      </c>
      <c r="L27" s="138"/>
      <c r="M27" s="138"/>
    </row>
    <row r="28" spans="2:13" s="109" customFormat="1" ht="42.75" x14ac:dyDescent="0.25">
      <c r="B28" s="457">
        <v>91863</v>
      </c>
      <c r="C28" s="457" t="s">
        <v>31</v>
      </c>
      <c r="D28" s="458" t="s">
        <v>1364</v>
      </c>
      <c r="E28" s="457" t="s">
        <v>35</v>
      </c>
      <c r="F28" s="457">
        <v>2217</v>
      </c>
      <c r="G28" s="459">
        <v>12.13</v>
      </c>
      <c r="H28" s="459">
        <v>26903.33</v>
      </c>
      <c r="I28" s="460">
        <f t="shared" si="0"/>
        <v>2.3972160023107359E-2</v>
      </c>
      <c r="J28" s="419">
        <f t="shared" si="1"/>
        <v>0.5535722241500538</v>
      </c>
      <c r="L28" s="138"/>
      <c r="M28" s="138"/>
    </row>
    <row r="29" spans="2:13" s="109" customFormat="1" ht="15" x14ac:dyDescent="0.25">
      <c r="B29" s="457" t="s">
        <v>1027</v>
      </c>
      <c r="C29" s="457" t="s">
        <v>264</v>
      </c>
      <c r="D29" s="458" t="s">
        <v>1028</v>
      </c>
      <c r="E29" s="457" t="s">
        <v>22</v>
      </c>
      <c r="F29" s="457">
        <v>480</v>
      </c>
      <c r="G29" s="459">
        <v>52.66</v>
      </c>
      <c r="H29" s="459">
        <v>25277.91</v>
      </c>
      <c r="I29" s="460">
        <f t="shared" si="0"/>
        <v>2.2523832684270152E-2</v>
      </c>
      <c r="J29" s="419">
        <f>+I29+J22</f>
        <v>0.60544831158510704</v>
      </c>
      <c r="L29" s="138"/>
      <c r="M29" s="138"/>
    </row>
    <row r="30" spans="2:13" s="109" customFormat="1" ht="42.75" x14ac:dyDescent="0.25">
      <c r="B30" s="457" t="s">
        <v>848</v>
      </c>
      <c r="C30" s="457" t="s">
        <v>849</v>
      </c>
      <c r="D30" s="458" t="s">
        <v>850</v>
      </c>
      <c r="E30" s="457" t="s">
        <v>851</v>
      </c>
      <c r="F30" s="457">
        <v>1206</v>
      </c>
      <c r="G30" s="459">
        <v>17.68</v>
      </c>
      <c r="H30" s="459">
        <v>21327.14</v>
      </c>
      <c r="I30" s="460">
        <f t="shared" si="0"/>
        <v>1.9003506737463871E-2</v>
      </c>
      <c r="J30" s="419">
        <f>+I30+J25</f>
        <v>0.6516130215339937</v>
      </c>
      <c r="L30" s="138"/>
      <c r="M30" s="138"/>
    </row>
    <row r="31" spans="2:13" s="109" customFormat="1" ht="15" x14ac:dyDescent="0.25">
      <c r="B31" s="457" t="s">
        <v>1021</v>
      </c>
      <c r="C31" s="457" t="s">
        <v>212</v>
      </c>
      <c r="D31" s="458" t="s">
        <v>1022</v>
      </c>
      <c r="E31" s="457" t="s">
        <v>22</v>
      </c>
      <c r="F31" s="457">
        <v>15</v>
      </c>
      <c r="G31" s="459">
        <v>1383.69</v>
      </c>
      <c r="H31" s="459">
        <v>20755.45</v>
      </c>
      <c r="I31" s="460">
        <f t="shared" si="0"/>
        <v>1.849410347163729E-2</v>
      </c>
      <c r="J31" s="419">
        <f t="shared" si="1"/>
        <v>0.67010712500563097</v>
      </c>
      <c r="L31" s="138"/>
      <c r="M31" s="138"/>
    </row>
    <row r="32" spans="2:13" s="109" customFormat="1" ht="28.5" x14ac:dyDescent="0.25">
      <c r="B32" s="457" t="s">
        <v>1348</v>
      </c>
      <c r="C32" s="457" t="s">
        <v>124</v>
      </c>
      <c r="D32" s="458" t="s">
        <v>1311</v>
      </c>
      <c r="E32" s="457" t="s">
        <v>22</v>
      </c>
      <c r="F32" s="457">
        <v>1</v>
      </c>
      <c r="G32" s="459">
        <v>20370.46</v>
      </c>
      <c r="H32" s="459">
        <v>20370.46</v>
      </c>
      <c r="I32" s="460">
        <f t="shared" si="0"/>
        <v>1.8151058878745029E-2</v>
      </c>
      <c r="J32" s="419">
        <f t="shared" si="1"/>
        <v>0.68825818388437598</v>
      </c>
      <c r="L32" s="138"/>
      <c r="M32" s="138"/>
    </row>
    <row r="33" spans="2:13" s="109" customFormat="1" ht="42.75" x14ac:dyDescent="0.25">
      <c r="B33" s="457" t="s">
        <v>852</v>
      </c>
      <c r="C33" s="457" t="s">
        <v>849</v>
      </c>
      <c r="D33" s="458" t="s">
        <v>853</v>
      </c>
      <c r="E33" s="457" t="s">
        <v>851</v>
      </c>
      <c r="F33" s="457">
        <v>661.4</v>
      </c>
      <c r="G33" s="459">
        <v>26.33</v>
      </c>
      <c r="H33" s="459">
        <v>17415.43</v>
      </c>
      <c r="I33" s="460">
        <f t="shared" si="0"/>
        <v>1.5517985127908871E-2</v>
      </c>
      <c r="J33" s="419">
        <f t="shared" si="1"/>
        <v>0.7037761690122849</v>
      </c>
      <c r="L33" s="138"/>
      <c r="M33" s="138"/>
    </row>
    <row r="34" spans="2:13" s="109" customFormat="1" ht="15" x14ac:dyDescent="0.25">
      <c r="B34" s="457" t="s">
        <v>1208</v>
      </c>
      <c r="C34" s="457" t="s">
        <v>264</v>
      </c>
      <c r="D34" s="458" t="s">
        <v>1209</v>
      </c>
      <c r="E34" s="457" t="s">
        <v>35</v>
      </c>
      <c r="F34" s="457">
        <v>245.2</v>
      </c>
      <c r="G34" s="459">
        <v>64.23</v>
      </c>
      <c r="H34" s="459">
        <v>15750.74</v>
      </c>
      <c r="I34" s="460">
        <f t="shared" si="0"/>
        <v>1.4034666331727633E-2</v>
      </c>
      <c r="J34" s="419">
        <f t="shared" si="1"/>
        <v>0.71781083534401258</v>
      </c>
      <c r="L34" s="138"/>
      <c r="M34" s="138"/>
    </row>
    <row r="35" spans="2:13" s="109" customFormat="1" ht="15" x14ac:dyDescent="0.25">
      <c r="B35" s="457" t="s">
        <v>992</v>
      </c>
      <c r="C35" s="457" t="s">
        <v>175</v>
      </c>
      <c r="D35" s="458" t="s">
        <v>993</v>
      </c>
      <c r="E35" s="457" t="s">
        <v>225</v>
      </c>
      <c r="F35" s="457">
        <v>342</v>
      </c>
      <c r="G35" s="459">
        <v>44.14</v>
      </c>
      <c r="H35" s="459">
        <v>15099.13</v>
      </c>
      <c r="I35" s="460">
        <f t="shared" si="0"/>
        <v>1.3454050504889209E-2</v>
      </c>
      <c r="J35" s="419">
        <f t="shared" si="1"/>
        <v>0.73126488584890181</v>
      </c>
      <c r="L35" s="138"/>
      <c r="M35" s="138"/>
    </row>
    <row r="36" spans="2:13" s="109" customFormat="1" ht="28.5" x14ac:dyDescent="0.25">
      <c r="B36" s="457" t="s">
        <v>762</v>
      </c>
      <c r="C36" s="457" t="s">
        <v>31</v>
      </c>
      <c r="D36" s="458" t="s">
        <v>763</v>
      </c>
      <c r="E36" s="457" t="s">
        <v>22</v>
      </c>
      <c r="F36" s="457">
        <v>12</v>
      </c>
      <c r="G36" s="459">
        <v>1097.96</v>
      </c>
      <c r="H36" s="459">
        <v>13175.63</v>
      </c>
      <c r="I36" s="460">
        <f t="shared" si="0"/>
        <v>1.174011956011594E-2</v>
      </c>
      <c r="J36" s="419">
        <f t="shared" si="1"/>
        <v>0.7430050054090177</v>
      </c>
      <c r="L36" s="138"/>
      <c r="M36" s="138"/>
    </row>
    <row r="37" spans="2:13" s="109" customFormat="1" ht="15" x14ac:dyDescent="0.25">
      <c r="B37" s="457" t="s">
        <v>915</v>
      </c>
      <c r="C37" s="457" t="s">
        <v>124</v>
      </c>
      <c r="D37" s="458" t="s">
        <v>916</v>
      </c>
      <c r="E37" s="457" t="s">
        <v>35</v>
      </c>
      <c r="F37" s="457">
        <v>203.8</v>
      </c>
      <c r="G37" s="459">
        <v>64.260000000000005</v>
      </c>
      <c r="H37" s="459">
        <v>13096.33</v>
      </c>
      <c r="I37" s="460">
        <f t="shared" si="0"/>
        <v>1.1669459448901737E-2</v>
      </c>
      <c r="J37" s="419">
        <f t="shared" si="1"/>
        <v>0.75467446485791945</v>
      </c>
      <c r="L37" s="138"/>
      <c r="M37" s="138"/>
    </row>
    <row r="38" spans="2:13" s="109" customFormat="1" ht="42.75" x14ac:dyDescent="0.25">
      <c r="B38" s="457" t="s">
        <v>1487</v>
      </c>
      <c r="C38" s="457" t="s">
        <v>31</v>
      </c>
      <c r="D38" s="458" t="s">
        <v>1363</v>
      </c>
      <c r="E38" s="457" t="s">
        <v>35</v>
      </c>
      <c r="F38" s="457">
        <v>761.6</v>
      </c>
      <c r="G38" s="459">
        <v>16.11</v>
      </c>
      <c r="H38" s="459">
        <v>12270.07</v>
      </c>
      <c r="I38" s="460">
        <f t="shared" si="0"/>
        <v>1.0933222078260531E-2</v>
      </c>
      <c r="J38" s="419">
        <f t="shared" si="1"/>
        <v>0.76560768693617998</v>
      </c>
      <c r="L38" s="138"/>
      <c r="M38" s="138"/>
    </row>
    <row r="39" spans="2:13" s="109" customFormat="1" ht="28.5" x14ac:dyDescent="0.25">
      <c r="B39" s="457" t="s">
        <v>127</v>
      </c>
      <c r="C39" s="457" t="s">
        <v>31</v>
      </c>
      <c r="D39" s="458" t="s">
        <v>108</v>
      </c>
      <c r="E39" s="457" t="s">
        <v>8</v>
      </c>
      <c r="F39" s="457">
        <v>1800</v>
      </c>
      <c r="G39" s="459">
        <v>6.61</v>
      </c>
      <c r="H39" s="459">
        <v>11898.41</v>
      </c>
      <c r="I39" s="460">
        <f t="shared" si="0"/>
        <v>1.0602055156017519E-2</v>
      </c>
      <c r="J39" s="419">
        <f t="shared" si="1"/>
        <v>0.77620974209219751</v>
      </c>
      <c r="L39" s="138"/>
      <c r="M39" s="138"/>
    </row>
    <row r="40" spans="2:13" s="109" customFormat="1" ht="15" x14ac:dyDescent="0.25">
      <c r="B40" s="457">
        <v>2450</v>
      </c>
      <c r="C40" s="457" t="s">
        <v>175</v>
      </c>
      <c r="D40" s="458" t="s">
        <v>1351</v>
      </c>
      <c r="E40" s="457" t="s">
        <v>2</v>
      </c>
      <c r="F40" s="457">
        <v>4258.93</v>
      </c>
      <c r="G40" s="459">
        <v>2.62</v>
      </c>
      <c r="H40" s="459">
        <v>11167.51</v>
      </c>
      <c r="I40" s="460">
        <f t="shared" si="0"/>
        <v>9.9507881284454994E-3</v>
      </c>
      <c r="J40" s="419">
        <f t="shared" si="1"/>
        <v>0.78616053022064303</v>
      </c>
      <c r="L40" s="138"/>
      <c r="M40" s="138"/>
    </row>
    <row r="41" spans="2:13" s="109" customFormat="1" ht="15" x14ac:dyDescent="0.25">
      <c r="B41" s="457" t="s">
        <v>766</v>
      </c>
      <c r="C41" s="457" t="s">
        <v>212</v>
      </c>
      <c r="D41" s="458" t="s">
        <v>767</v>
      </c>
      <c r="E41" s="457" t="s">
        <v>768</v>
      </c>
      <c r="F41" s="457">
        <v>420</v>
      </c>
      <c r="G41" s="459">
        <v>25.61</v>
      </c>
      <c r="H41" s="459">
        <v>10756.87</v>
      </c>
      <c r="I41" s="460">
        <f t="shared" si="0"/>
        <v>9.584888152796062E-3</v>
      </c>
      <c r="J41" s="419">
        <f t="shared" si="1"/>
        <v>0.79574541837343904</v>
      </c>
      <c r="L41" s="138"/>
      <c r="M41" s="138"/>
    </row>
    <row r="42" spans="2:13" s="109" customFormat="1" ht="15" x14ac:dyDescent="0.25">
      <c r="B42" s="457" t="s">
        <v>398</v>
      </c>
      <c r="C42" s="457" t="s">
        <v>212</v>
      </c>
      <c r="D42" s="458" t="s">
        <v>399</v>
      </c>
      <c r="E42" s="457" t="s">
        <v>22</v>
      </c>
      <c r="F42" s="457">
        <v>25</v>
      </c>
      <c r="G42" s="459">
        <v>426.86</v>
      </c>
      <c r="H42" s="459">
        <v>10671.5</v>
      </c>
      <c r="I42" s="460">
        <f t="shared" si="0"/>
        <v>9.5088193798533553E-3</v>
      </c>
      <c r="J42" s="419">
        <f t="shared" si="1"/>
        <v>0.80525423775329241</v>
      </c>
      <c r="L42" s="138"/>
      <c r="M42" s="138"/>
    </row>
    <row r="43" spans="2:13" s="109" customFormat="1" ht="15" x14ac:dyDescent="0.25">
      <c r="B43" s="457">
        <v>59637</v>
      </c>
      <c r="C43" s="457" t="s">
        <v>212</v>
      </c>
      <c r="D43" s="458" t="s">
        <v>1034</v>
      </c>
      <c r="E43" s="457" t="s">
        <v>22</v>
      </c>
      <c r="F43" s="457">
        <v>5</v>
      </c>
      <c r="G43" s="459">
        <v>1991.81</v>
      </c>
      <c r="H43" s="459">
        <v>9959.07</v>
      </c>
      <c r="I43" s="460">
        <f t="shared" si="0"/>
        <v>8.8740100099626244E-3</v>
      </c>
      <c r="J43" s="419">
        <f t="shared" si="1"/>
        <v>0.81412824776325499</v>
      </c>
      <c r="L43" s="138"/>
      <c r="M43" s="138"/>
    </row>
    <row r="44" spans="2:13" s="109" customFormat="1" ht="15" x14ac:dyDescent="0.25">
      <c r="B44" s="457" t="s">
        <v>1025</v>
      </c>
      <c r="C44" s="457" t="s">
        <v>874</v>
      </c>
      <c r="D44" s="458" t="s">
        <v>1026</v>
      </c>
      <c r="E44" s="457" t="s">
        <v>824</v>
      </c>
      <c r="F44" s="457">
        <v>288</v>
      </c>
      <c r="G44" s="459">
        <v>31.85</v>
      </c>
      <c r="H44" s="459">
        <v>9174.51</v>
      </c>
      <c r="I44" s="460">
        <f t="shared" si="0"/>
        <v>8.1749293434529736E-3</v>
      </c>
      <c r="J44" s="419">
        <f t="shared" si="1"/>
        <v>0.82230317710670797</v>
      </c>
      <c r="L44" s="138"/>
      <c r="M44" s="138"/>
    </row>
    <row r="45" spans="2:13" s="109" customFormat="1" ht="15" x14ac:dyDescent="0.25">
      <c r="B45" s="457">
        <v>83388</v>
      </c>
      <c r="C45" s="457" t="s">
        <v>31</v>
      </c>
      <c r="D45" s="458" t="s">
        <v>846</v>
      </c>
      <c r="E45" s="457" t="s">
        <v>22</v>
      </c>
      <c r="F45" s="457">
        <v>636</v>
      </c>
      <c r="G45" s="459">
        <v>12.87</v>
      </c>
      <c r="H45" s="459">
        <v>8191.02</v>
      </c>
      <c r="I45" s="460">
        <f t="shared" si="0"/>
        <v>7.2985924862265317E-3</v>
      </c>
      <c r="J45" s="419">
        <f t="shared" si="1"/>
        <v>0.82960176959293452</v>
      </c>
      <c r="L45" s="138"/>
      <c r="M45" s="138"/>
    </row>
    <row r="46" spans="2:13" s="109" customFormat="1" ht="15" x14ac:dyDescent="0.25">
      <c r="B46" s="457" t="s">
        <v>915</v>
      </c>
      <c r="C46" s="457" t="s">
        <v>124</v>
      </c>
      <c r="D46" s="458" t="s">
        <v>916</v>
      </c>
      <c r="E46" s="457" t="s">
        <v>35</v>
      </c>
      <c r="F46" s="457">
        <v>123.5</v>
      </c>
      <c r="G46" s="459">
        <v>64.260000000000005</v>
      </c>
      <c r="H46" s="459">
        <v>7936.19</v>
      </c>
      <c r="I46" s="460">
        <f t="shared" si="0"/>
        <v>7.0715267089161218E-3</v>
      </c>
      <c r="J46" s="419">
        <f t="shared" si="1"/>
        <v>0.83667329630185061</v>
      </c>
      <c r="L46" s="138"/>
      <c r="M46" s="138"/>
    </row>
    <row r="47" spans="2:13" s="109" customFormat="1" ht="15" x14ac:dyDescent="0.25">
      <c r="B47" s="457" t="s">
        <v>1208</v>
      </c>
      <c r="C47" s="457" t="s">
        <v>264</v>
      </c>
      <c r="D47" s="458" t="s">
        <v>1209</v>
      </c>
      <c r="E47" s="457" t="s">
        <v>35</v>
      </c>
      <c r="F47" s="457">
        <v>123.5</v>
      </c>
      <c r="G47" s="459">
        <v>64.23</v>
      </c>
      <c r="H47" s="459">
        <v>7933.18</v>
      </c>
      <c r="I47" s="460">
        <f t="shared" ref="I47:I78" si="2">H47/$H$156</f>
        <v>7.0688446542533897E-3</v>
      </c>
      <c r="J47" s="419">
        <f t="shared" si="1"/>
        <v>0.843742140956104</v>
      </c>
      <c r="L47" s="138"/>
      <c r="M47" s="138"/>
    </row>
    <row r="48" spans="2:13" s="109" customFormat="1" ht="15" x14ac:dyDescent="0.25">
      <c r="B48" s="457" t="s">
        <v>1027</v>
      </c>
      <c r="C48" s="457" t="s">
        <v>264</v>
      </c>
      <c r="D48" s="458" t="s">
        <v>1028</v>
      </c>
      <c r="E48" s="457" t="s">
        <v>22</v>
      </c>
      <c r="F48" s="457">
        <v>144</v>
      </c>
      <c r="G48" s="459">
        <v>52.66</v>
      </c>
      <c r="H48" s="459">
        <v>7583.37</v>
      </c>
      <c r="I48" s="460">
        <f t="shared" si="2"/>
        <v>6.7571471321368638E-3</v>
      </c>
      <c r="J48" s="419">
        <f t="shared" si="1"/>
        <v>0.85049928808824082</v>
      </c>
      <c r="L48" s="138"/>
      <c r="M48" s="138"/>
    </row>
    <row r="49" spans="2:13" s="109" customFormat="1" ht="15" x14ac:dyDescent="0.25">
      <c r="B49" s="457">
        <v>72596</v>
      </c>
      <c r="C49" s="457" t="s">
        <v>874</v>
      </c>
      <c r="D49" s="458" t="s">
        <v>1008</v>
      </c>
      <c r="E49" s="457" t="s">
        <v>824</v>
      </c>
      <c r="F49" s="457">
        <v>217</v>
      </c>
      <c r="G49" s="459">
        <v>33.159999999999997</v>
      </c>
      <c r="H49" s="459">
        <v>7195.92</v>
      </c>
      <c r="I49" s="460">
        <f t="shared" si="2"/>
        <v>6.411910561015261E-3</v>
      </c>
      <c r="J49" s="419">
        <f t="shared" si="1"/>
        <v>0.85691119864925613</v>
      </c>
      <c r="L49" s="138"/>
      <c r="M49" s="138"/>
    </row>
    <row r="50" spans="2:13" s="109" customFormat="1" ht="15" x14ac:dyDescent="0.25">
      <c r="B50" s="457" t="s">
        <v>1612</v>
      </c>
      <c r="C50" s="457" t="s">
        <v>124</v>
      </c>
      <c r="D50" s="458" t="s">
        <v>1355</v>
      </c>
      <c r="E50" s="457" t="s">
        <v>35</v>
      </c>
      <c r="F50" s="457">
        <v>15896.7</v>
      </c>
      <c r="G50" s="459">
        <v>0.45</v>
      </c>
      <c r="H50" s="459">
        <v>7173.41</v>
      </c>
      <c r="I50" s="460">
        <f t="shared" si="2"/>
        <v>6.3918530691687066E-3</v>
      </c>
      <c r="J50" s="419">
        <f t="shared" si="1"/>
        <v>0.86330305171842481</v>
      </c>
      <c r="L50" s="138"/>
      <c r="M50" s="138"/>
    </row>
    <row r="51" spans="2:13" s="109" customFormat="1" ht="15" x14ac:dyDescent="0.25">
      <c r="B51" s="457" t="s">
        <v>1352</v>
      </c>
      <c r="C51" s="457" t="s">
        <v>124</v>
      </c>
      <c r="D51" s="458" t="s">
        <v>302</v>
      </c>
      <c r="E51" s="457" t="s">
        <v>35</v>
      </c>
      <c r="F51" s="457">
        <v>117.3</v>
      </c>
      <c r="G51" s="459">
        <v>60.05</v>
      </c>
      <c r="H51" s="459">
        <v>7044.22</v>
      </c>
      <c r="I51" s="460">
        <f t="shared" si="2"/>
        <v>6.2767385702057451E-3</v>
      </c>
      <c r="J51" s="419">
        <f t="shared" si="1"/>
        <v>0.86957979028863053</v>
      </c>
      <c r="L51" s="138"/>
      <c r="M51" s="138"/>
    </row>
    <row r="52" spans="2:13" s="109" customFormat="1" ht="28.5" x14ac:dyDescent="0.25">
      <c r="B52" s="457" t="s">
        <v>259</v>
      </c>
      <c r="C52" s="457" t="s">
        <v>124</v>
      </c>
      <c r="D52" s="458" t="s">
        <v>730</v>
      </c>
      <c r="E52" s="457" t="s">
        <v>119</v>
      </c>
      <c r="F52" s="457">
        <v>5</v>
      </c>
      <c r="G52" s="459">
        <v>1341.56</v>
      </c>
      <c r="H52" s="461">
        <v>6707.8</v>
      </c>
      <c r="I52" s="460">
        <f t="shared" si="2"/>
        <v>5.9769721816221094E-3</v>
      </c>
      <c r="J52" s="419">
        <f>+I52+J61</f>
        <v>0.9226249238688532</v>
      </c>
      <c r="L52" s="138"/>
      <c r="M52" s="138"/>
    </row>
    <row r="53" spans="2:13" s="109" customFormat="1" ht="15" x14ac:dyDescent="0.25">
      <c r="B53" s="457">
        <v>60140</v>
      </c>
      <c r="C53" s="457" t="s">
        <v>212</v>
      </c>
      <c r="D53" s="458" t="s">
        <v>1353</v>
      </c>
      <c r="E53" s="457" t="s">
        <v>22</v>
      </c>
      <c r="F53" s="457">
        <v>135</v>
      </c>
      <c r="G53" s="459">
        <v>48.46</v>
      </c>
      <c r="H53" s="459">
        <v>6543.03</v>
      </c>
      <c r="I53" s="460">
        <f t="shared" si="2"/>
        <v>5.8301541926591288E-3</v>
      </c>
      <c r="J53" s="419">
        <f>+I53+J51</f>
        <v>0.87540994448128961</v>
      </c>
      <c r="L53" s="138"/>
      <c r="M53" s="138"/>
    </row>
    <row r="54" spans="2:13" s="109" customFormat="1" ht="15" x14ac:dyDescent="0.25">
      <c r="B54" s="457" t="s">
        <v>990</v>
      </c>
      <c r="C54" s="457" t="s">
        <v>175</v>
      </c>
      <c r="D54" s="458" t="s">
        <v>991</v>
      </c>
      <c r="E54" s="457" t="s">
        <v>225</v>
      </c>
      <c r="F54" s="457">
        <v>1384</v>
      </c>
      <c r="G54" s="459">
        <v>4.54</v>
      </c>
      <c r="H54" s="459">
        <v>6295.96</v>
      </c>
      <c r="I54" s="460">
        <f t="shared" si="2"/>
        <v>5.61000294829982E-3</v>
      </c>
      <c r="J54" s="419">
        <f t="shared" si="1"/>
        <v>0.88101994742958945</v>
      </c>
      <c r="L54" s="138"/>
      <c r="M54" s="138"/>
    </row>
    <row r="55" spans="2:13" s="109" customFormat="1" ht="15" x14ac:dyDescent="0.25">
      <c r="B55" s="457" t="s">
        <v>1266</v>
      </c>
      <c r="C55" s="457" t="s">
        <v>124</v>
      </c>
      <c r="D55" s="458" t="s">
        <v>1267</v>
      </c>
      <c r="E55" s="457" t="s">
        <v>22</v>
      </c>
      <c r="F55" s="457">
        <v>5</v>
      </c>
      <c r="G55" s="459">
        <v>1236.79</v>
      </c>
      <c r="H55" s="459">
        <v>6183.98</v>
      </c>
      <c r="I55" s="460">
        <f t="shared" si="2"/>
        <v>5.5102233864616551E-3</v>
      </c>
      <c r="J55" s="419">
        <f t="shared" si="1"/>
        <v>0.88653017081605112</v>
      </c>
      <c r="L55" s="138"/>
      <c r="M55" s="138"/>
    </row>
    <row r="56" spans="2:13" s="109" customFormat="1" ht="15" x14ac:dyDescent="0.25">
      <c r="B56" s="457">
        <v>71184</v>
      </c>
      <c r="C56" s="457" t="s">
        <v>874</v>
      </c>
      <c r="D56" s="458" t="s">
        <v>903</v>
      </c>
      <c r="E56" s="457" t="s">
        <v>824</v>
      </c>
      <c r="F56" s="457">
        <v>32</v>
      </c>
      <c r="G56" s="459">
        <v>180.31</v>
      </c>
      <c r="H56" s="459">
        <v>5770.17</v>
      </c>
      <c r="I56" s="460">
        <f t="shared" si="2"/>
        <v>5.1414987884597701E-3</v>
      </c>
      <c r="J56" s="419">
        <f t="shared" si="1"/>
        <v>0.89167166960451094</v>
      </c>
      <c r="L56" s="138"/>
      <c r="M56" s="138"/>
    </row>
    <row r="57" spans="2:13" s="109" customFormat="1" ht="28.5" x14ac:dyDescent="0.25">
      <c r="B57" s="457" t="s">
        <v>876</v>
      </c>
      <c r="C57" s="457" t="s">
        <v>874</v>
      </c>
      <c r="D57" s="458" t="s">
        <v>1347</v>
      </c>
      <c r="E57" s="457" t="s">
        <v>225</v>
      </c>
      <c r="F57" s="457">
        <v>225</v>
      </c>
      <c r="G57" s="459">
        <v>25.37</v>
      </c>
      <c r="H57" s="459">
        <v>5710.47</v>
      </c>
      <c r="I57" s="460">
        <f t="shared" si="2"/>
        <v>5.0883032192354585E-3</v>
      </c>
      <c r="J57" s="419">
        <f t="shared" si="1"/>
        <v>0.89675997282374642</v>
      </c>
      <c r="L57" s="138"/>
      <c r="M57" s="138"/>
    </row>
    <row r="58" spans="2:13" s="109" customFormat="1" ht="42.75" x14ac:dyDescent="0.25">
      <c r="B58" s="457">
        <v>101879</v>
      </c>
      <c r="C58" s="457" t="s">
        <v>31</v>
      </c>
      <c r="D58" s="458" t="s">
        <v>951</v>
      </c>
      <c r="E58" s="457" t="s">
        <v>22</v>
      </c>
      <c r="F58" s="457">
        <v>7</v>
      </c>
      <c r="G58" s="459">
        <v>804.55</v>
      </c>
      <c r="H58" s="459">
        <v>5631.9</v>
      </c>
      <c r="I58" s="460">
        <f t="shared" si="2"/>
        <v>5.0182935731055717E-3</v>
      </c>
      <c r="J58" s="419">
        <f t="shared" si="1"/>
        <v>0.90177826639685199</v>
      </c>
      <c r="L58" s="138"/>
      <c r="M58" s="138"/>
    </row>
    <row r="59" spans="2:13" s="109" customFormat="1" ht="15" x14ac:dyDescent="0.25">
      <c r="B59" s="457" t="s">
        <v>918</v>
      </c>
      <c r="C59" s="457" t="s">
        <v>124</v>
      </c>
      <c r="D59" s="458" t="s">
        <v>919</v>
      </c>
      <c r="E59" s="457" t="s">
        <v>22</v>
      </c>
      <c r="F59" s="457">
        <v>110</v>
      </c>
      <c r="G59" s="459">
        <v>51.17</v>
      </c>
      <c r="H59" s="459">
        <v>5629.18</v>
      </c>
      <c r="I59" s="460">
        <f t="shared" si="2"/>
        <v>5.0158699223804446E-3</v>
      </c>
      <c r="J59" s="419">
        <f t="shared" si="1"/>
        <v>0.90679413631923245</v>
      </c>
      <c r="L59" s="138"/>
      <c r="M59" s="138"/>
    </row>
    <row r="60" spans="2:13" s="109" customFormat="1" ht="15" x14ac:dyDescent="0.25">
      <c r="B60" s="457" t="s">
        <v>898</v>
      </c>
      <c r="C60" s="457" t="s">
        <v>264</v>
      </c>
      <c r="D60" s="458" t="s">
        <v>899</v>
      </c>
      <c r="E60" s="457" t="s">
        <v>22</v>
      </c>
      <c r="F60" s="457">
        <v>152</v>
      </c>
      <c r="G60" s="459">
        <v>36.46</v>
      </c>
      <c r="H60" s="459">
        <v>5542.83</v>
      </c>
      <c r="I60" s="460">
        <f t="shared" si="2"/>
        <v>4.938927922338244E-3</v>
      </c>
      <c r="J60" s="419">
        <f t="shared" si="1"/>
        <v>0.91173306424157075</v>
      </c>
      <c r="L60" s="138"/>
      <c r="M60" s="138"/>
    </row>
    <row r="61" spans="2:13" s="109" customFormat="1" ht="42.75" x14ac:dyDescent="0.25">
      <c r="B61" s="457" t="s">
        <v>856</v>
      </c>
      <c r="C61" s="457" t="s">
        <v>849</v>
      </c>
      <c r="D61" s="458" t="s">
        <v>857</v>
      </c>
      <c r="E61" s="457" t="s">
        <v>851</v>
      </c>
      <c r="F61" s="457">
        <v>42.8</v>
      </c>
      <c r="G61" s="459">
        <v>128.87</v>
      </c>
      <c r="H61" s="459">
        <v>5515.85</v>
      </c>
      <c r="I61" s="460">
        <f t="shared" si="2"/>
        <v>4.9148874456603226E-3</v>
      </c>
      <c r="J61" s="419">
        <f t="shared" si="1"/>
        <v>0.91664795168723112</v>
      </c>
      <c r="L61" s="138"/>
      <c r="M61" s="138"/>
    </row>
    <row r="62" spans="2:13" s="109" customFormat="1" ht="15" x14ac:dyDescent="0.25">
      <c r="B62" s="457" t="s">
        <v>258</v>
      </c>
      <c r="C62" s="457" t="s">
        <v>124</v>
      </c>
      <c r="D62" s="458" t="s">
        <v>729</v>
      </c>
      <c r="E62" s="457" t="s">
        <v>119</v>
      </c>
      <c r="F62" s="457">
        <v>5</v>
      </c>
      <c r="G62" s="459">
        <v>1048.08</v>
      </c>
      <c r="H62" s="461">
        <v>5240.43</v>
      </c>
      <c r="I62" s="460">
        <f t="shared" si="2"/>
        <v>4.6694749887799206E-3</v>
      </c>
      <c r="J62" s="419">
        <f>+I62+J64</f>
        <v>0.93544163442735928</v>
      </c>
      <c r="L62" s="138"/>
      <c r="M62" s="138"/>
    </row>
    <row r="63" spans="2:13" s="109" customFormat="1" ht="42.75" x14ac:dyDescent="0.25">
      <c r="B63" s="457">
        <v>93012</v>
      </c>
      <c r="C63" s="457" t="s">
        <v>31</v>
      </c>
      <c r="D63" s="458" t="s">
        <v>940</v>
      </c>
      <c r="E63" s="457" t="s">
        <v>35</v>
      </c>
      <c r="F63" s="457">
        <v>69.5</v>
      </c>
      <c r="G63" s="459">
        <v>68.23</v>
      </c>
      <c r="H63" s="459">
        <v>4742.4399999999996</v>
      </c>
      <c r="I63" s="460">
        <f t="shared" si="2"/>
        <v>4.2257419650275725E-3</v>
      </c>
      <c r="J63" s="419">
        <f>+I63+J52</f>
        <v>0.92685066583388076</v>
      </c>
      <c r="L63" s="138"/>
      <c r="M63" s="138"/>
    </row>
    <row r="64" spans="2:13" s="109" customFormat="1" ht="15" x14ac:dyDescent="0.25">
      <c r="B64" s="457" t="s">
        <v>918</v>
      </c>
      <c r="C64" s="457" t="s">
        <v>124</v>
      </c>
      <c r="D64" s="458" t="s">
        <v>919</v>
      </c>
      <c r="E64" s="457" t="s">
        <v>22</v>
      </c>
      <c r="F64" s="457">
        <v>86</v>
      </c>
      <c r="G64" s="459">
        <v>51.17</v>
      </c>
      <c r="H64" s="459">
        <v>4400.99</v>
      </c>
      <c r="I64" s="460">
        <f t="shared" si="2"/>
        <v>3.9214936046985723E-3</v>
      </c>
      <c r="J64" s="419">
        <f t="shared" si="1"/>
        <v>0.93077215943857938</v>
      </c>
      <c r="L64" s="138"/>
      <c r="M64" s="138"/>
    </row>
    <row r="65" spans="2:13" s="109" customFormat="1" ht="15" x14ac:dyDescent="0.25">
      <c r="B65" s="457" t="s">
        <v>1021</v>
      </c>
      <c r="C65" s="457" t="s">
        <v>212</v>
      </c>
      <c r="D65" s="458" t="s">
        <v>1022</v>
      </c>
      <c r="E65" s="457" t="s">
        <v>22</v>
      </c>
      <c r="F65" s="457">
        <v>3</v>
      </c>
      <c r="G65" s="459">
        <v>1383.69</v>
      </c>
      <c r="H65" s="459">
        <v>4151.09</v>
      </c>
      <c r="I65" s="460">
        <f t="shared" si="2"/>
        <v>3.6988206943274577E-3</v>
      </c>
      <c r="J65" s="419">
        <f>+I65+J62</f>
        <v>0.93914045512168676</v>
      </c>
      <c r="L65" s="138"/>
      <c r="M65" s="138"/>
    </row>
    <row r="66" spans="2:13" s="109" customFormat="1" ht="15" x14ac:dyDescent="0.25">
      <c r="B66" s="457" t="s">
        <v>758</v>
      </c>
      <c r="C66" s="457" t="s">
        <v>212</v>
      </c>
      <c r="D66" s="458" t="s">
        <v>759</v>
      </c>
      <c r="E66" s="457" t="s">
        <v>22</v>
      </c>
      <c r="F66" s="457">
        <v>5</v>
      </c>
      <c r="G66" s="459">
        <v>815.8</v>
      </c>
      <c r="H66" s="459">
        <v>4079.01</v>
      </c>
      <c r="I66" s="460">
        <f t="shared" si="2"/>
        <v>3.6345939501115716E-3</v>
      </c>
      <c r="J66" s="419">
        <f t="shared" si="1"/>
        <v>0.94277504907179832</v>
      </c>
      <c r="L66" s="138"/>
      <c r="M66" s="138"/>
    </row>
    <row r="67" spans="2:13" s="109" customFormat="1" ht="15" x14ac:dyDescent="0.25">
      <c r="B67" s="457" t="s">
        <v>755</v>
      </c>
      <c r="C67" s="457" t="s">
        <v>212</v>
      </c>
      <c r="D67" s="458" t="s">
        <v>756</v>
      </c>
      <c r="E67" s="457" t="s">
        <v>22</v>
      </c>
      <c r="F67" s="457">
        <v>1</v>
      </c>
      <c r="G67" s="459">
        <v>3701.57</v>
      </c>
      <c r="H67" s="459">
        <v>3701.57</v>
      </c>
      <c r="I67" s="460">
        <f t="shared" si="2"/>
        <v>3.2982767700776637E-3</v>
      </c>
      <c r="J67" s="419">
        <f t="shared" si="1"/>
        <v>0.94607332584187598</v>
      </c>
      <c r="L67" s="138"/>
      <c r="M67" s="138"/>
    </row>
    <row r="68" spans="2:13" s="109" customFormat="1" ht="15" x14ac:dyDescent="0.25">
      <c r="B68" s="457" t="s">
        <v>922</v>
      </c>
      <c r="C68" s="457" t="s">
        <v>175</v>
      </c>
      <c r="D68" s="458" t="s">
        <v>923</v>
      </c>
      <c r="E68" s="457" t="s">
        <v>225</v>
      </c>
      <c r="F68" s="457">
        <v>232</v>
      </c>
      <c r="G68" s="459">
        <v>14.53</v>
      </c>
      <c r="H68" s="459">
        <v>3372.73</v>
      </c>
      <c r="I68" s="460">
        <f t="shared" si="2"/>
        <v>3.0052645257942E-3</v>
      </c>
      <c r="J68" s="419">
        <f t="shared" si="1"/>
        <v>0.94907859036767017</v>
      </c>
      <c r="L68" s="138"/>
      <c r="M68" s="138"/>
    </row>
    <row r="69" spans="2:13" s="109" customFormat="1" ht="15" x14ac:dyDescent="0.25">
      <c r="B69" s="457" t="s">
        <v>760</v>
      </c>
      <c r="C69" s="457" t="s">
        <v>212</v>
      </c>
      <c r="D69" s="458" t="s">
        <v>761</v>
      </c>
      <c r="E69" s="457" t="s">
        <v>22</v>
      </c>
      <c r="F69" s="457">
        <v>40</v>
      </c>
      <c r="G69" s="459">
        <v>82.27</v>
      </c>
      <c r="H69" s="459">
        <v>3290.96</v>
      </c>
      <c r="I69" s="460">
        <f t="shared" si="2"/>
        <v>2.9324035258700464E-3</v>
      </c>
      <c r="J69" s="419">
        <f t="shared" si="1"/>
        <v>0.95201099389354027</v>
      </c>
      <c r="L69" s="138"/>
      <c r="M69" s="138"/>
    </row>
    <row r="70" spans="2:13" s="109" customFormat="1" ht="28.5" x14ac:dyDescent="0.25">
      <c r="B70" s="457" t="s">
        <v>757</v>
      </c>
      <c r="C70" s="457" t="s">
        <v>124</v>
      </c>
      <c r="D70" s="458" t="s">
        <v>550</v>
      </c>
      <c r="E70" s="457" t="s">
        <v>243</v>
      </c>
      <c r="F70" s="457">
        <v>5</v>
      </c>
      <c r="G70" s="459">
        <v>636.86</v>
      </c>
      <c r="H70" s="459">
        <v>3184.31</v>
      </c>
      <c r="I70" s="460">
        <f t="shared" si="2"/>
        <v>2.8373732501954588E-3</v>
      </c>
      <c r="J70" s="419">
        <f t="shared" si="1"/>
        <v>0.95484836714373578</v>
      </c>
      <c r="L70" s="138"/>
      <c r="M70" s="138"/>
    </row>
    <row r="71" spans="2:13" s="109" customFormat="1" ht="15" x14ac:dyDescent="0.25">
      <c r="B71" s="457" t="s">
        <v>1225</v>
      </c>
      <c r="C71" s="457" t="s">
        <v>1226</v>
      </c>
      <c r="D71" s="458" t="s">
        <v>1227</v>
      </c>
      <c r="E71" s="457" t="s">
        <v>22</v>
      </c>
      <c r="F71" s="457">
        <v>5</v>
      </c>
      <c r="G71" s="459">
        <v>623.89</v>
      </c>
      <c r="H71" s="459">
        <v>3119.49</v>
      </c>
      <c r="I71" s="460">
        <f t="shared" si="2"/>
        <v>2.7796155149003177E-3</v>
      </c>
      <c r="J71" s="419">
        <f t="shared" si="1"/>
        <v>0.95762798265863613</v>
      </c>
      <c r="L71" s="138"/>
      <c r="M71" s="138"/>
    </row>
    <row r="72" spans="2:13" s="109" customFormat="1" ht="28.5" x14ac:dyDescent="0.25">
      <c r="B72" s="457" t="s">
        <v>900</v>
      </c>
      <c r="C72" s="457" t="s">
        <v>124</v>
      </c>
      <c r="D72" s="458" t="s">
        <v>901</v>
      </c>
      <c r="E72" s="457" t="s">
        <v>22</v>
      </c>
      <c r="F72" s="457">
        <v>16</v>
      </c>
      <c r="G72" s="459">
        <v>187.25</v>
      </c>
      <c r="H72" s="459">
        <v>2996.11</v>
      </c>
      <c r="I72" s="460">
        <f t="shared" si="2"/>
        <v>2.6696780051700731E-3</v>
      </c>
      <c r="J72" s="419">
        <f t="shared" si="1"/>
        <v>0.96029766066380617</v>
      </c>
      <c r="L72" s="138"/>
      <c r="M72" s="138"/>
    </row>
    <row r="73" spans="2:13" s="109" customFormat="1" ht="42.75" x14ac:dyDescent="0.25">
      <c r="B73" s="457" t="s">
        <v>867</v>
      </c>
      <c r="C73" s="457" t="s">
        <v>31</v>
      </c>
      <c r="D73" s="458" t="s">
        <v>868</v>
      </c>
      <c r="E73" s="457" t="s">
        <v>22</v>
      </c>
      <c r="F73" s="457">
        <v>52</v>
      </c>
      <c r="G73" s="459">
        <v>57.34</v>
      </c>
      <c r="H73" s="459">
        <v>2981.97</v>
      </c>
      <c r="I73" s="460">
        <f t="shared" si="2"/>
        <v>2.6570785855916513E-3</v>
      </c>
      <c r="J73" s="419">
        <f t="shared" si="1"/>
        <v>0.96295473924939778</v>
      </c>
      <c r="L73" s="138"/>
      <c r="M73" s="138"/>
    </row>
    <row r="74" spans="2:13" s="109" customFormat="1" ht="15" x14ac:dyDescent="0.25">
      <c r="B74" s="457" t="s">
        <v>1011</v>
      </c>
      <c r="C74" s="457" t="s">
        <v>264</v>
      </c>
      <c r="D74" s="458" t="s">
        <v>1012</v>
      </c>
      <c r="E74" s="457" t="s">
        <v>22</v>
      </c>
      <c r="F74" s="457">
        <v>29</v>
      </c>
      <c r="G74" s="459">
        <v>85.68</v>
      </c>
      <c r="H74" s="459">
        <v>2484.98</v>
      </c>
      <c r="I74" s="460">
        <f t="shared" si="2"/>
        <v>2.2142366099000134E-3</v>
      </c>
      <c r="J74" s="419">
        <f t="shared" si="1"/>
        <v>0.96516897585929784</v>
      </c>
      <c r="L74" s="138"/>
      <c r="M74" s="138"/>
    </row>
    <row r="75" spans="2:13" s="109" customFormat="1" ht="15" x14ac:dyDescent="0.25">
      <c r="B75" s="457" t="s">
        <v>873</v>
      </c>
      <c r="C75" s="457" t="s">
        <v>874</v>
      </c>
      <c r="D75" s="458" t="s">
        <v>1346</v>
      </c>
      <c r="E75" s="457" t="s">
        <v>824</v>
      </c>
      <c r="F75" s="457">
        <v>139</v>
      </c>
      <c r="G75" s="459">
        <v>17.75</v>
      </c>
      <c r="H75" s="459">
        <v>2468.27</v>
      </c>
      <c r="I75" s="460">
        <f t="shared" si="2"/>
        <v>2.19934719680557E-3</v>
      </c>
      <c r="J75" s="419">
        <f t="shared" si="1"/>
        <v>0.96736832305610343</v>
      </c>
      <c r="L75" s="138"/>
      <c r="M75" s="138"/>
    </row>
    <row r="76" spans="2:13" s="109" customFormat="1" ht="15" x14ac:dyDescent="0.25">
      <c r="B76" s="457">
        <v>60107</v>
      </c>
      <c r="C76" s="457" t="s">
        <v>212</v>
      </c>
      <c r="D76" s="458" t="s">
        <v>739</v>
      </c>
      <c r="E76" s="457" t="s">
        <v>35</v>
      </c>
      <c r="F76" s="457">
        <v>40.9</v>
      </c>
      <c r="G76" s="459">
        <v>58.63</v>
      </c>
      <c r="H76" s="459">
        <v>2398.3000000000002</v>
      </c>
      <c r="I76" s="460">
        <f t="shared" si="2"/>
        <v>2.1370005639977795E-3</v>
      </c>
      <c r="J76" s="419">
        <f t="shared" si="1"/>
        <v>0.96950532362010122</v>
      </c>
      <c r="L76" s="138"/>
      <c r="M76" s="138"/>
    </row>
    <row r="77" spans="2:13" s="109" customFormat="1" ht="15" x14ac:dyDescent="0.25">
      <c r="B77" s="457">
        <v>83387</v>
      </c>
      <c r="C77" s="457" t="s">
        <v>31</v>
      </c>
      <c r="D77" s="458" t="s">
        <v>844</v>
      </c>
      <c r="E77" s="457" t="s">
        <v>22</v>
      </c>
      <c r="F77" s="457">
        <v>168</v>
      </c>
      <c r="G77" s="459">
        <v>10.5</v>
      </c>
      <c r="H77" s="459">
        <v>1764.12</v>
      </c>
      <c r="I77" s="460">
        <f t="shared" si="2"/>
        <v>1.5719157048575084E-3</v>
      </c>
      <c r="J77" s="419">
        <f t="shared" si="1"/>
        <v>0.97107723932495871</v>
      </c>
      <c r="L77" s="138"/>
      <c r="M77" s="138"/>
    </row>
    <row r="78" spans="2:13" s="109" customFormat="1" ht="28.5" x14ac:dyDescent="0.25">
      <c r="B78" s="457" t="s">
        <v>754</v>
      </c>
      <c r="C78" s="457" t="s">
        <v>124</v>
      </c>
      <c r="D78" s="458" t="s">
        <v>541</v>
      </c>
      <c r="E78" s="457" t="s">
        <v>22</v>
      </c>
      <c r="F78" s="457">
        <v>17</v>
      </c>
      <c r="G78" s="459">
        <v>98.65</v>
      </c>
      <c r="H78" s="459">
        <v>1677.1</v>
      </c>
      <c r="I78" s="460">
        <f t="shared" si="2"/>
        <v>1.4943767026146335E-3</v>
      </c>
      <c r="J78" s="419">
        <f t="shared" si="1"/>
        <v>0.97257161602757336</v>
      </c>
      <c r="L78" s="138"/>
      <c r="M78" s="138"/>
    </row>
    <row r="79" spans="2:13" s="109" customFormat="1" ht="28.5" x14ac:dyDescent="0.25">
      <c r="B79" s="457">
        <v>91953</v>
      </c>
      <c r="C79" s="457" t="s">
        <v>31</v>
      </c>
      <c r="D79" s="458" t="s">
        <v>1268</v>
      </c>
      <c r="E79" s="457" t="s">
        <v>22</v>
      </c>
      <c r="F79" s="457">
        <v>57</v>
      </c>
      <c r="G79" s="459">
        <v>28.59</v>
      </c>
      <c r="H79" s="459">
        <v>1630.17</v>
      </c>
      <c r="I79" s="460">
        <f t="shared" ref="I79:I110" si="3">H79/$H$156</f>
        <v>1.4525598171255723E-3</v>
      </c>
      <c r="J79" s="419">
        <f t="shared" si="1"/>
        <v>0.97402417584469891</v>
      </c>
      <c r="L79" s="138"/>
      <c r="M79" s="138"/>
    </row>
    <row r="80" spans="2:13" s="109" customFormat="1" ht="15" x14ac:dyDescent="0.25">
      <c r="B80" s="457" t="s">
        <v>123</v>
      </c>
      <c r="C80" s="457" t="s">
        <v>124</v>
      </c>
      <c r="D80" s="458" t="s">
        <v>125</v>
      </c>
      <c r="E80" s="457" t="s">
        <v>126</v>
      </c>
      <c r="F80" s="457">
        <v>120</v>
      </c>
      <c r="G80" s="459">
        <v>12.19</v>
      </c>
      <c r="H80" s="459">
        <v>1463.52</v>
      </c>
      <c r="I80" s="460">
        <f t="shared" si="3"/>
        <v>1.30406665780846E-3</v>
      </c>
      <c r="J80" s="419">
        <f t="shared" si="1"/>
        <v>0.97532824250250738</v>
      </c>
      <c r="L80" s="138"/>
      <c r="M80" s="138"/>
    </row>
    <row r="81" spans="2:13" s="109" customFormat="1" ht="42.75" x14ac:dyDescent="0.25">
      <c r="B81" s="457" t="s">
        <v>854</v>
      </c>
      <c r="C81" s="457" t="s">
        <v>849</v>
      </c>
      <c r="D81" s="458" t="s">
        <v>855</v>
      </c>
      <c r="E81" s="457" t="s">
        <v>851</v>
      </c>
      <c r="F81" s="457">
        <v>181.1</v>
      </c>
      <c r="G81" s="459">
        <v>7.85</v>
      </c>
      <c r="H81" s="459">
        <v>1422.39</v>
      </c>
      <c r="I81" s="460">
        <f t="shared" si="3"/>
        <v>1.2674178510715096E-3</v>
      </c>
      <c r="J81" s="419">
        <f t="shared" ref="J81:J138" si="4">+I81+J80</f>
        <v>0.97659566035357892</v>
      </c>
      <c r="L81" s="138"/>
      <c r="M81" s="138"/>
    </row>
    <row r="82" spans="2:13" s="109" customFormat="1" ht="15" x14ac:dyDescent="0.25">
      <c r="B82" s="457" t="s">
        <v>1266</v>
      </c>
      <c r="C82" s="457" t="s">
        <v>124</v>
      </c>
      <c r="D82" s="458" t="s">
        <v>1267</v>
      </c>
      <c r="E82" s="457" t="s">
        <v>22</v>
      </c>
      <c r="F82" s="457">
        <v>1</v>
      </c>
      <c r="G82" s="459">
        <v>1236.79</v>
      </c>
      <c r="H82" s="459">
        <v>1236.79</v>
      </c>
      <c r="I82" s="460">
        <f t="shared" si="3"/>
        <v>1.1020393310039668E-3</v>
      </c>
      <c r="J82" s="419">
        <f t="shared" si="4"/>
        <v>0.97769769968458287</v>
      </c>
      <c r="L82" s="138"/>
      <c r="M82" s="138"/>
    </row>
    <row r="83" spans="2:13" s="109" customFormat="1" ht="15" x14ac:dyDescent="0.25">
      <c r="B83" s="457" t="s">
        <v>1323</v>
      </c>
      <c r="C83" s="457" t="s">
        <v>264</v>
      </c>
      <c r="D83" s="458" t="s">
        <v>1324</v>
      </c>
      <c r="E83" s="457" t="s">
        <v>22</v>
      </c>
      <c r="F83" s="457">
        <v>285</v>
      </c>
      <c r="G83" s="459">
        <v>4.07</v>
      </c>
      <c r="H83" s="459">
        <v>1160.93</v>
      </c>
      <c r="I83" s="460">
        <f t="shared" si="3"/>
        <v>1.0344444251186016E-3</v>
      </c>
      <c r="J83" s="419">
        <f t="shared" si="4"/>
        <v>0.97873214410970144</v>
      </c>
      <c r="L83" s="138"/>
      <c r="M83" s="138"/>
    </row>
    <row r="84" spans="2:13" s="109" customFormat="1" ht="15" x14ac:dyDescent="0.25">
      <c r="B84" s="457">
        <v>63583</v>
      </c>
      <c r="C84" s="457" t="s">
        <v>212</v>
      </c>
      <c r="D84" s="458" t="s">
        <v>749</v>
      </c>
      <c r="E84" s="457" t="s">
        <v>22</v>
      </c>
      <c r="F84" s="457">
        <v>183</v>
      </c>
      <c r="G84" s="459">
        <v>6.17</v>
      </c>
      <c r="H84" s="459">
        <v>1129.32</v>
      </c>
      <c r="I84" s="460">
        <f t="shared" si="3"/>
        <v>1.0062783959195981E-3</v>
      </c>
      <c r="J84" s="419">
        <f t="shared" si="4"/>
        <v>0.97973842250562104</v>
      </c>
      <c r="L84" s="138"/>
      <c r="M84" s="138"/>
    </row>
    <row r="85" spans="2:13" s="109" customFormat="1" ht="15" x14ac:dyDescent="0.25">
      <c r="B85" s="457" t="s">
        <v>760</v>
      </c>
      <c r="C85" s="457" t="s">
        <v>212</v>
      </c>
      <c r="D85" s="458" t="s">
        <v>761</v>
      </c>
      <c r="E85" s="457" t="s">
        <v>22</v>
      </c>
      <c r="F85" s="457">
        <v>12</v>
      </c>
      <c r="G85" s="459">
        <v>82.27</v>
      </c>
      <c r="H85" s="459">
        <v>987.29</v>
      </c>
      <c r="I85" s="460">
        <f t="shared" si="3"/>
        <v>8.7972283985713522E-4</v>
      </c>
      <c r="J85" s="419">
        <f t="shared" si="4"/>
        <v>0.9806181453454782</v>
      </c>
      <c r="L85" s="138"/>
      <c r="M85" s="138"/>
    </row>
    <row r="86" spans="2:13" s="109" customFormat="1" ht="28.5" x14ac:dyDescent="0.25">
      <c r="B86" s="457" t="s">
        <v>748</v>
      </c>
      <c r="C86" s="457" t="s">
        <v>124</v>
      </c>
      <c r="D86" s="458" t="s">
        <v>493</v>
      </c>
      <c r="E86" s="457" t="s">
        <v>225</v>
      </c>
      <c r="F86" s="457">
        <v>132</v>
      </c>
      <c r="G86" s="459">
        <v>7.34</v>
      </c>
      <c r="H86" s="459">
        <v>969.14</v>
      </c>
      <c r="I86" s="460">
        <f t="shared" si="3"/>
        <v>8.6355031755527161E-4</v>
      </c>
      <c r="J86" s="419">
        <f t="shared" si="4"/>
        <v>0.98148169566303345</v>
      </c>
      <c r="L86" s="138"/>
      <c r="M86" s="138"/>
    </row>
    <row r="87" spans="2:13" s="109" customFormat="1" ht="15" x14ac:dyDescent="0.25">
      <c r="B87" s="457">
        <v>62571</v>
      </c>
      <c r="C87" s="457" t="s">
        <v>212</v>
      </c>
      <c r="D87" s="458" t="s">
        <v>1238</v>
      </c>
      <c r="E87" s="457" t="s">
        <v>22</v>
      </c>
      <c r="F87" s="457">
        <v>72</v>
      </c>
      <c r="G87" s="459">
        <v>12.25</v>
      </c>
      <c r="H87" s="459">
        <v>882.5</v>
      </c>
      <c r="I87" s="460">
        <f t="shared" si="3"/>
        <v>7.8634991357546603E-4</v>
      </c>
      <c r="J87" s="419">
        <f t="shared" si="4"/>
        <v>0.98226804557660896</v>
      </c>
      <c r="L87" s="138"/>
      <c r="M87" s="138"/>
    </row>
    <row r="88" spans="2:13" s="109" customFormat="1" ht="28.5" x14ac:dyDescent="0.25">
      <c r="B88" s="457" t="s">
        <v>1356</v>
      </c>
      <c r="C88" s="457" t="s">
        <v>31</v>
      </c>
      <c r="D88" s="458" t="s">
        <v>1357</v>
      </c>
      <c r="E88" s="457" t="s">
        <v>35</v>
      </c>
      <c r="F88" s="457">
        <v>131.80000000000001</v>
      </c>
      <c r="G88" s="459">
        <v>6.69</v>
      </c>
      <c r="H88" s="459">
        <v>882.48</v>
      </c>
      <c r="I88" s="460">
        <f t="shared" si="3"/>
        <v>7.8633209261425193E-4</v>
      </c>
      <c r="J88" s="419">
        <f t="shared" si="4"/>
        <v>0.98305437766922321</v>
      </c>
      <c r="L88" s="138"/>
      <c r="M88" s="138"/>
    </row>
    <row r="89" spans="2:13" s="109" customFormat="1" ht="28.5" x14ac:dyDescent="0.25">
      <c r="B89" s="457" t="s">
        <v>748</v>
      </c>
      <c r="C89" s="457" t="s">
        <v>124</v>
      </c>
      <c r="D89" s="458" t="s">
        <v>493</v>
      </c>
      <c r="E89" s="457" t="s">
        <v>225</v>
      </c>
      <c r="F89" s="457">
        <v>116</v>
      </c>
      <c r="G89" s="459">
        <v>7.34</v>
      </c>
      <c r="H89" s="459">
        <v>851.67</v>
      </c>
      <c r="I89" s="460">
        <f t="shared" si="3"/>
        <v>7.5887890186381545E-4</v>
      </c>
      <c r="J89" s="419">
        <f t="shared" si="4"/>
        <v>0.98381325657108698</v>
      </c>
      <c r="L89" s="138"/>
      <c r="M89" s="138"/>
    </row>
    <row r="90" spans="2:13" s="109" customFormat="1" ht="15" x14ac:dyDescent="0.25">
      <c r="B90" s="457" t="s">
        <v>758</v>
      </c>
      <c r="C90" s="457" t="s">
        <v>212</v>
      </c>
      <c r="D90" s="458" t="s">
        <v>759</v>
      </c>
      <c r="E90" s="457" t="s">
        <v>22</v>
      </c>
      <c r="F90" s="457">
        <v>1</v>
      </c>
      <c r="G90" s="459">
        <v>815.8</v>
      </c>
      <c r="H90" s="459">
        <v>815.8</v>
      </c>
      <c r="I90" s="460">
        <f t="shared" si="3"/>
        <v>7.2691700792619279E-4</v>
      </c>
      <c r="J90" s="419">
        <f t="shared" si="4"/>
        <v>0.98454017357901313</v>
      </c>
      <c r="L90" s="138"/>
      <c r="M90" s="138"/>
    </row>
    <row r="91" spans="2:13" s="109" customFormat="1" ht="15" x14ac:dyDescent="0.25">
      <c r="B91" s="457">
        <v>59412</v>
      </c>
      <c r="C91" s="457" t="s">
        <v>212</v>
      </c>
      <c r="D91" s="458" t="s">
        <v>1203</v>
      </c>
      <c r="E91" s="457" t="s">
        <v>22</v>
      </c>
      <c r="F91" s="457">
        <v>6</v>
      </c>
      <c r="G91" s="459">
        <v>125.06</v>
      </c>
      <c r="H91" s="459">
        <v>750.41</v>
      </c>
      <c r="I91" s="460">
        <f t="shared" si="3"/>
        <v>6.6865137523644807E-4</v>
      </c>
      <c r="J91" s="419">
        <f t="shared" si="4"/>
        <v>0.98520882495424955</v>
      </c>
      <c r="L91" s="138"/>
      <c r="M91" s="138"/>
    </row>
    <row r="92" spans="2:13" s="109" customFormat="1" ht="15" x14ac:dyDescent="0.25">
      <c r="B92" s="457" t="s">
        <v>747</v>
      </c>
      <c r="C92" s="457" t="s">
        <v>124</v>
      </c>
      <c r="D92" s="458" t="s">
        <v>443</v>
      </c>
      <c r="E92" s="457" t="s">
        <v>22</v>
      </c>
      <c r="F92" s="457">
        <v>112</v>
      </c>
      <c r="G92" s="459">
        <v>6.45</v>
      </c>
      <c r="H92" s="459">
        <v>722.58</v>
      </c>
      <c r="I92" s="460">
        <f t="shared" si="3"/>
        <v>6.4385350770692381E-4</v>
      </c>
      <c r="J92" s="419">
        <f t="shared" si="4"/>
        <v>0.98585267846195646</v>
      </c>
      <c r="L92" s="138"/>
      <c r="M92" s="138"/>
    </row>
    <row r="93" spans="2:13" s="109" customFormat="1" ht="15" x14ac:dyDescent="0.25">
      <c r="B93" s="457">
        <v>9526</v>
      </c>
      <c r="C93" s="457" t="s">
        <v>175</v>
      </c>
      <c r="D93" s="458" t="s">
        <v>923</v>
      </c>
      <c r="E93" s="457" t="s">
        <v>225</v>
      </c>
      <c r="F93" s="457">
        <v>49</v>
      </c>
      <c r="G93" s="459">
        <v>14.53</v>
      </c>
      <c r="H93" s="459">
        <v>712.34</v>
      </c>
      <c r="I93" s="460">
        <f t="shared" si="3"/>
        <v>6.3472917556526632E-4</v>
      </c>
      <c r="J93" s="419">
        <f t="shared" si="4"/>
        <v>0.98648740763752174</v>
      </c>
      <c r="L93" s="138"/>
      <c r="M93" s="138"/>
    </row>
    <row r="94" spans="2:13" s="109" customFormat="1" ht="15" x14ac:dyDescent="0.25">
      <c r="B94" s="457" t="s">
        <v>1023</v>
      </c>
      <c r="C94" s="457" t="s">
        <v>124</v>
      </c>
      <c r="D94" s="458" t="s">
        <v>1024</v>
      </c>
      <c r="E94" s="457" t="s">
        <v>22</v>
      </c>
      <c r="F94" s="457">
        <v>5</v>
      </c>
      <c r="G94" s="459">
        <v>139.43</v>
      </c>
      <c r="H94" s="459">
        <v>697.18</v>
      </c>
      <c r="I94" s="460">
        <f t="shared" si="3"/>
        <v>6.2122088696492167E-4</v>
      </c>
      <c r="J94" s="419">
        <f t="shared" si="4"/>
        <v>0.98710862852448666</v>
      </c>
      <c r="L94" s="138"/>
      <c r="M94" s="138"/>
    </row>
    <row r="95" spans="2:13" s="109" customFormat="1" ht="15" x14ac:dyDescent="0.25">
      <c r="B95" s="457" t="s">
        <v>841</v>
      </c>
      <c r="C95" s="457" t="s">
        <v>842</v>
      </c>
      <c r="D95" s="458" t="s">
        <v>843</v>
      </c>
      <c r="E95" s="457" t="s">
        <v>22</v>
      </c>
      <c r="F95" s="457">
        <v>53</v>
      </c>
      <c r="G95" s="459">
        <v>12.4</v>
      </c>
      <c r="H95" s="459">
        <v>657.37</v>
      </c>
      <c r="I95" s="460">
        <f t="shared" si="3"/>
        <v>5.8574826366810664E-4</v>
      </c>
      <c r="J95" s="419">
        <f t="shared" si="4"/>
        <v>0.98769437678815475</v>
      </c>
      <c r="L95" s="138"/>
      <c r="M95" s="138"/>
    </row>
    <row r="96" spans="2:13" s="109" customFormat="1" ht="28.5" x14ac:dyDescent="0.25">
      <c r="B96" s="457" t="s">
        <v>757</v>
      </c>
      <c r="C96" s="457" t="s">
        <v>124</v>
      </c>
      <c r="D96" s="458" t="s">
        <v>550</v>
      </c>
      <c r="E96" s="457" t="s">
        <v>243</v>
      </c>
      <c r="F96" s="457">
        <v>1</v>
      </c>
      <c r="G96" s="459">
        <v>636.86</v>
      </c>
      <c r="H96" s="459">
        <v>636.86</v>
      </c>
      <c r="I96" s="460">
        <f t="shared" si="3"/>
        <v>5.6747286794297039E-4</v>
      </c>
      <c r="J96" s="419">
        <f t="shared" si="4"/>
        <v>0.98826184965609776</v>
      </c>
      <c r="L96" s="138"/>
      <c r="M96" s="138"/>
    </row>
    <row r="97" spans="2:13" s="109" customFormat="1" ht="15" x14ac:dyDescent="0.25">
      <c r="B97" s="457" t="s">
        <v>764</v>
      </c>
      <c r="C97" s="457" t="s">
        <v>212</v>
      </c>
      <c r="D97" s="458" t="s">
        <v>765</v>
      </c>
      <c r="E97" s="457" t="s">
        <v>22</v>
      </c>
      <c r="F97" s="457">
        <v>5</v>
      </c>
      <c r="G97" s="459">
        <v>120.97</v>
      </c>
      <c r="H97" s="459">
        <v>604.86</v>
      </c>
      <c r="I97" s="460">
        <f t="shared" si="3"/>
        <v>5.3895933000029054E-4</v>
      </c>
      <c r="J97" s="419">
        <f t="shared" si="4"/>
        <v>0.98880080898609801</v>
      </c>
      <c r="L97" s="138"/>
      <c r="M97" s="138"/>
    </row>
    <row r="98" spans="2:13" s="109" customFormat="1" ht="42.75" x14ac:dyDescent="0.25">
      <c r="B98" s="457">
        <v>91864</v>
      </c>
      <c r="C98" s="457" t="s">
        <v>31</v>
      </c>
      <c r="D98" s="458" t="s">
        <v>1363</v>
      </c>
      <c r="E98" s="457" t="s">
        <v>35</v>
      </c>
      <c r="F98" s="457">
        <v>37.5</v>
      </c>
      <c r="G98" s="459">
        <v>16.11</v>
      </c>
      <c r="H98" s="459">
        <v>604.15</v>
      </c>
      <c r="I98" s="460">
        <f t="shared" si="3"/>
        <v>5.3832668587718729E-4</v>
      </c>
      <c r="J98" s="419">
        <f t="shared" si="4"/>
        <v>0.98933913567197518</v>
      </c>
      <c r="L98" s="138"/>
      <c r="M98" s="138"/>
    </row>
    <row r="99" spans="2:13" s="109" customFormat="1" ht="28.5" x14ac:dyDescent="0.25">
      <c r="B99" s="457" t="s">
        <v>731</v>
      </c>
      <c r="C99" s="457" t="s">
        <v>124</v>
      </c>
      <c r="D99" s="458" t="s">
        <v>726</v>
      </c>
      <c r="E99" s="457" t="s">
        <v>2</v>
      </c>
      <c r="F99" s="457">
        <v>1.5</v>
      </c>
      <c r="G99" s="459">
        <v>402.05</v>
      </c>
      <c r="H99" s="459">
        <v>603.08000000000004</v>
      </c>
      <c r="I99" s="460">
        <f t="shared" si="3"/>
        <v>5.3737326445222906E-4</v>
      </c>
      <c r="J99" s="419">
        <f t="shared" si="4"/>
        <v>0.98987650893642742</v>
      </c>
      <c r="L99" s="138"/>
      <c r="M99" s="138"/>
    </row>
    <row r="100" spans="2:13" s="109" customFormat="1" ht="15" x14ac:dyDescent="0.25">
      <c r="B100" s="457" t="s">
        <v>841</v>
      </c>
      <c r="C100" s="457" t="s">
        <v>842</v>
      </c>
      <c r="D100" s="458" t="s">
        <v>843</v>
      </c>
      <c r="E100" s="457" t="s">
        <v>22</v>
      </c>
      <c r="F100" s="457">
        <v>46</v>
      </c>
      <c r="G100" s="459">
        <v>12.4</v>
      </c>
      <c r="H100" s="459">
        <v>570.54999999999995</v>
      </c>
      <c r="I100" s="460">
        <f t="shared" si="3"/>
        <v>5.083874710373735E-4</v>
      </c>
      <c r="J100" s="419">
        <f t="shared" si="4"/>
        <v>0.99038489640746474</v>
      </c>
      <c r="L100" s="138"/>
      <c r="M100" s="138"/>
    </row>
    <row r="101" spans="2:13" s="109" customFormat="1" ht="15" x14ac:dyDescent="0.25">
      <c r="B101" s="457" t="s">
        <v>975</v>
      </c>
      <c r="C101" s="457" t="s">
        <v>175</v>
      </c>
      <c r="D101" s="458" t="s">
        <v>815</v>
      </c>
      <c r="E101" s="457" t="s">
        <v>225</v>
      </c>
      <c r="F101" s="457">
        <v>1056</v>
      </c>
      <c r="G101" s="459">
        <v>0.46</v>
      </c>
      <c r="H101" s="459">
        <v>489.4</v>
      </c>
      <c r="I101" s="460">
        <f t="shared" si="3"/>
        <v>4.3607892091085903E-4</v>
      </c>
      <c r="J101" s="419">
        <f t="shared" si="4"/>
        <v>0.99082097532837565</v>
      </c>
      <c r="L101" s="138"/>
      <c r="M101" s="138"/>
    </row>
    <row r="102" spans="2:13" s="109" customFormat="1" ht="15" x14ac:dyDescent="0.25">
      <c r="B102" s="457" t="s">
        <v>1245</v>
      </c>
      <c r="C102" s="457" t="s">
        <v>124</v>
      </c>
      <c r="D102" s="458" t="s">
        <v>1246</v>
      </c>
      <c r="E102" s="457" t="s">
        <v>22</v>
      </c>
      <c r="F102" s="457">
        <v>4</v>
      </c>
      <c r="G102" s="459">
        <v>118.53</v>
      </c>
      <c r="H102" s="459">
        <v>474.13</v>
      </c>
      <c r="I102" s="460">
        <f t="shared" si="3"/>
        <v>4.224726170238365E-4</v>
      </c>
      <c r="J102" s="419">
        <f t="shared" si="4"/>
        <v>0.99124344794539954</v>
      </c>
      <c r="L102" s="138"/>
      <c r="M102" s="138"/>
    </row>
    <row r="103" spans="2:13" s="109" customFormat="1" ht="28.5" x14ac:dyDescent="0.25">
      <c r="B103" s="457" t="s">
        <v>750</v>
      </c>
      <c r="C103" s="457" t="s">
        <v>124</v>
      </c>
      <c r="D103" s="458" t="s">
        <v>460</v>
      </c>
      <c r="E103" s="457" t="s">
        <v>225</v>
      </c>
      <c r="F103" s="457">
        <v>88</v>
      </c>
      <c r="G103" s="459">
        <v>5.17</v>
      </c>
      <c r="H103" s="459">
        <v>455.05</v>
      </c>
      <c r="I103" s="460">
        <f t="shared" si="3"/>
        <v>4.0547142002551369E-4</v>
      </c>
      <c r="J103" s="419">
        <f t="shared" si="4"/>
        <v>0.9916489193654251</v>
      </c>
      <c r="L103" s="138"/>
      <c r="M103" s="138"/>
    </row>
    <row r="104" spans="2:13" s="109" customFormat="1" ht="15" x14ac:dyDescent="0.25">
      <c r="B104" s="457" t="s">
        <v>894</v>
      </c>
      <c r="C104" s="457" t="s">
        <v>849</v>
      </c>
      <c r="D104" s="458" t="s">
        <v>895</v>
      </c>
      <c r="E104" s="457" t="s">
        <v>225</v>
      </c>
      <c r="F104" s="457">
        <v>4</v>
      </c>
      <c r="G104" s="459">
        <v>112.95</v>
      </c>
      <c r="H104" s="459">
        <v>451.83</v>
      </c>
      <c r="I104" s="460">
        <f t="shared" si="3"/>
        <v>4.026022452700315E-4</v>
      </c>
      <c r="J104" s="419">
        <f t="shared" si="4"/>
        <v>0.9920515216106951</v>
      </c>
      <c r="L104" s="138"/>
      <c r="M104" s="138"/>
    </row>
    <row r="105" spans="2:13" s="109" customFormat="1" ht="15" x14ac:dyDescent="0.25">
      <c r="B105" s="457" t="s">
        <v>896</v>
      </c>
      <c r="C105" s="457" t="s">
        <v>849</v>
      </c>
      <c r="D105" s="458" t="s">
        <v>897</v>
      </c>
      <c r="E105" s="457" t="s">
        <v>225</v>
      </c>
      <c r="F105" s="457">
        <v>4</v>
      </c>
      <c r="G105" s="459">
        <v>112.95</v>
      </c>
      <c r="H105" s="459">
        <v>451.83</v>
      </c>
      <c r="I105" s="460">
        <f t="shared" si="3"/>
        <v>4.026022452700315E-4</v>
      </c>
      <c r="J105" s="419">
        <f t="shared" si="4"/>
        <v>0.9924541238559651</v>
      </c>
      <c r="L105" s="138"/>
      <c r="M105" s="138"/>
    </row>
    <row r="106" spans="2:13" s="109" customFormat="1" ht="15" x14ac:dyDescent="0.25">
      <c r="B106" s="457" t="s">
        <v>988</v>
      </c>
      <c r="C106" s="457" t="s">
        <v>874</v>
      </c>
      <c r="D106" s="458" t="s">
        <v>989</v>
      </c>
      <c r="E106" s="457" t="s">
        <v>824</v>
      </c>
      <c r="F106" s="457">
        <v>912</v>
      </c>
      <c r="G106" s="459">
        <v>0.46</v>
      </c>
      <c r="H106" s="459">
        <v>422.66</v>
      </c>
      <c r="I106" s="460">
        <f t="shared" si="3"/>
        <v>3.7661037333915754E-4</v>
      </c>
      <c r="J106" s="419">
        <f t="shared" si="4"/>
        <v>0.99283073422930423</v>
      </c>
      <c r="L106" s="138"/>
      <c r="M106" s="138"/>
    </row>
    <row r="107" spans="2:13" s="109" customFormat="1" ht="28.5" x14ac:dyDescent="0.25">
      <c r="B107" s="457">
        <v>93671</v>
      </c>
      <c r="C107" s="457" t="s">
        <v>31</v>
      </c>
      <c r="D107" s="458" t="s">
        <v>743</v>
      </c>
      <c r="E107" s="457" t="s">
        <v>22</v>
      </c>
      <c r="F107" s="457">
        <v>4</v>
      </c>
      <c r="G107" s="459">
        <v>102.2</v>
      </c>
      <c r="H107" s="459">
        <v>408.8</v>
      </c>
      <c r="I107" s="460">
        <f t="shared" si="3"/>
        <v>3.6426044721773429E-4</v>
      </c>
      <c r="J107" s="419">
        <f t="shared" si="4"/>
        <v>0.99319499467652195</v>
      </c>
      <c r="L107" s="138"/>
      <c r="M107" s="138"/>
    </row>
    <row r="108" spans="2:13" s="109" customFormat="1" ht="42.75" x14ac:dyDescent="0.25">
      <c r="B108" s="457">
        <v>93009</v>
      </c>
      <c r="C108" s="457" t="s">
        <v>31</v>
      </c>
      <c r="D108" s="458" t="s">
        <v>1366</v>
      </c>
      <c r="E108" s="457" t="s">
        <v>35</v>
      </c>
      <c r="F108" s="457">
        <v>14.8</v>
      </c>
      <c r="G108" s="459">
        <v>26.41</v>
      </c>
      <c r="H108" s="459">
        <v>390.96</v>
      </c>
      <c r="I108" s="460">
        <f t="shared" si="3"/>
        <v>3.4836414981469032E-4</v>
      </c>
      <c r="J108" s="419">
        <f t="shared" si="4"/>
        <v>0.9935433588263366</v>
      </c>
      <c r="L108" s="138"/>
      <c r="M108" s="138"/>
    </row>
    <row r="109" spans="2:13" s="109" customFormat="1" ht="15" x14ac:dyDescent="0.25">
      <c r="B109" s="457" t="s">
        <v>977</v>
      </c>
      <c r="C109" s="457" t="s">
        <v>175</v>
      </c>
      <c r="D109" s="458" t="s">
        <v>978</v>
      </c>
      <c r="E109" s="457" t="s">
        <v>225</v>
      </c>
      <c r="F109" s="457">
        <v>790</v>
      </c>
      <c r="G109" s="459">
        <v>0.46</v>
      </c>
      <c r="H109" s="459">
        <v>366.12</v>
      </c>
      <c r="I109" s="460">
        <f t="shared" si="3"/>
        <v>3.2623051598668513E-4</v>
      </c>
      <c r="J109" s="419">
        <f t="shared" si="4"/>
        <v>0.99386958934232328</v>
      </c>
      <c r="L109" s="138"/>
      <c r="M109" s="138"/>
    </row>
    <row r="110" spans="2:13" s="109" customFormat="1" ht="15" x14ac:dyDescent="0.25">
      <c r="B110" s="457" t="s">
        <v>841</v>
      </c>
      <c r="C110" s="457" t="s">
        <v>842</v>
      </c>
      <c r="D110" s="458" t="s">
        <v>843</v>
      </c>
      <c r="E110" s="457" t="s">
        <v>22</v>
      </c>
      <c r="F110" s="457">
        <v>29</v>
      </c>
      <c r="G110" s="459">
        <v>12.4</v>
      </c>
      <c r="H110" s="459">
        <v>359.69</v>
      </c>
      <c r="I110" s="460">
        <f t="shared" si="3"/>
        <v>3.2050107695632792E-4</v>
      </c>
      <c r="J110" s="419">
        <f t="shared" si="4"/>
        <v>0.99419009041927964</v>
      </c>
      <c r="L110" s="138"/>
      <c r="M110" s="138"/>
    </row>
    <row r="111" spans="2:13" s="109" customFormat="1" ht="28.5" x14ac:dyDescent="0.25">
      <c r="B111" s="457" t="s">
        <v>1320</v>
      </c>
      <c r="C111" s="457" t="s">
        <v>31</v>
      </c>
      <c r="D111" s="458" t="s">
        <v>1321</v>
      </c>
      <c r="E111" s="457" t="s">
        <v>22</v>
      </c>
      <c r="F111" s="457">
        <v>285</v>
      </c>
      <c r="G111" s="459">
        <v>1.25</v>
      </c>
      <c r="H111" s="459">
        <v>358.01</v>
      </c>
      <c r="I111" s="460">
        <f t="shared" ref="I111:I142" si="5">H111/$H$156</f>
        <v>3.1900411621433721E-4</v>
      </c>
      <c r="J111" s="419">
        <f t="shared" si="4"/>
        <v>0.99450909453549396</v>
      </c>
      <c r="L111" s="138"/>
      <c r="M111" s="138"/>
    </row>
    <row r="112" spans="2:13" s="109" customFormat="1" ht="15" x14ac:dyDescent="0.25">
      <c r="B112" s="457" t="s">
        <v>1330</v>
      </c>
      <c r="C112" s="457" t="s">
        <v>175</v>
      </c>
      <c r="D112" s="458" t="s">
        <v>1331</v>
      </c>
      <c r="E112" s="457" t="s">
        <v>225</v>
      </c>
      <c r="F112" s="457">
        <v>8</v>
      </c>
      <c r="G112" s="459">
        <v>42.94</v>
      </c>
      <c r="H112" s="459">
        <v>343.53</v>
      </c>
      <c r="I112" s="460">
        <f t="shared" si="5"/>
        <v>3.061017402952746E-4</v>
      </c>
      <c r="J112" s="419">
        <f t="shared" si="4"/>
        <v>0.99481519627578929</v>
      </c>
      <c r="L112" s="138"/>
      <c r="M112" s="138"/>
    </row>
    <row r="113" spans="2:13" s="109" customFormat="1" ht="28.5" x14ac:dyDescent="0.25">
      <c r="B113" s="457" t="s">
        <v>751</v>
      </c>
      <c r="C113" s="457" t="s">
        <v>124</v>
      </c>
      <c r="D113" s="458" t="s">
        <v>480</v>
      </c>
      <c r="E113" s="457" t="s">
        <v>225</v>
      </c>
      <c r="F113" s="457">
        <v>452</v>
      </c>
      <c r="G113" s="459">
        <v>0.73</v>
      </c>
      <c r="H113" s="459">
        <v>330.75</v>
      </c>
      <c r="I113" s="460">
        <f t="shared" si="5"/>
        <v>2.9471414607941686E-4</v>
      </c>
      <c r="J113" s="419">
        <f t="shared" si="4"/>
        <v>0.99510991042186869</v>
      </c>
      <c r="L113" s="138"/>
      <c r="M113" s="138"/>
    </row>
    <row r="114" spans="2:13" s="109" customFormat="1" ht="28.5" x14ac:dyDescent="0.25">
      <c r="B114" s="457" t="s">
        <v>1326</v>
      </c>
      <c r="C114" s="457" t="s">
        <v>31</v>
      </c>
      <c r="D114" s="458" t="s">
        <v>1327</v>
      </c>
      <c r="E114" s="457" t="s">
        <v>22</v>
      </c>
      <c r="F114" s="457">
        <v>481</v>
      </c>
      <c r="G114" s="459">
        <v>0.64</v>
      </c>
      <c r="H114" s="459">
        <v>310.91000000000003</v>
      </c>
      <c r="I114" s="460">
        <f t="shared" si="5"/>
        <v>2.7703575255495544E-4</v>
      </c>
      <c r="J114" s="419">
        <f t="shared" si="4"/>
        <v>0.99538694617442369</v>
      </c>
      <c r="L114" s="138"/>
      <c r="M114" s="138"/>
    </row>
    <row r="115" spans="2:13" s="109" customFormat="1" ht="15" x14ac:dyDescent="0.25">
      <c r="B115" s="457" t="s">
        <v>1200</v>
      </c>
      <c r="C115" s="457" t="s">
        <v>842</v>
      </c>
      <c r="D115" s="458" t="s">
        <v>1201</v>
      </c>
      <c r="E115" s="457" t="s">
        <v>22</v>
      </c>
      <c r="F115" s="457">
        <v>2</v>
      </c>
      <c r="G115" s="459">
        <v>144.35</v>
      </c>
      <c r="H115" s="459">
        <v>288.7</v>
      </c>
      <c r="I115" s="460">
        <f t="shared" si="5"/>
        <v>2.5724557512661421E-4</v>
      </c>
      <c r="J115" s="419">
        <f t="shared" si="4"/>
        <v>0.99564419174955032</v>
      </c>
      <c r="L115" s="138"/>
      <c r="M115" s="138"/>
    </row>
    <row r="116" spans="2:13" s="109" customFormat="1" ht="15" x14ac:dyDescent="0.25">
      <c r="B116" s="457" t="s">
        <v>1272</v>
      </c>
      <c r="C116" s="457" t="s">
        <v>124</v>
      </c>
      <c r="D116" s="458" t="s">
        <v>1273</v>
      </c>
      <c r="E116" s="457" t="s">
        <v>22</v>
      </c>
      <c r="F116" s="457">
        <v>1</v>
      </c>
      <c r="G116" s="459">
        <v>284.69</v>
      </c>
      <c r="H116" s="459">
        <v>284.69</v>
      </c>
      <c r="I116" s="460">
        <f t="shared" si="5"/>
        <v>2.5367247240317217E-4</v>
      </c>
      <c r="J116" s="419">
        <f t="shared" si="4"/>
        <v>0.99589786422195348</v>
      </c>
      <c r="L116" s="138"/>
      <c r="M116" s="138"/>
    </row>
    <row r="117" spans="2:13" s="109" customFormat="1" ht="15" x14ac:dyDescent="0.25">
      <c r="B117" s="457" t="s">
        <v>841</v>
      </c>
      <c r="C117" s="457" t="s">
        <v>842</v>
      </c>
      <c r="D117" s="458" t="s">
        <v>843</v>
      </c>
      <c r="E117" s="457" t="s">
        <v>22</v>
      </c>
      <c r="F117" s="457">
        <v>22</v>
      </c>
      <c r="G117" s="459">
        <v>12.4</v>
      </c>
      <c r="H117" s="459">
        <v>272.87</v>
      </c>
      <c r="I117" s="460">
        <f t="shared" si="5"/>
        <v>2.4314028432559481E-4</v>
      </c>
      <c r="J117" s="419">
        <f t="shared" si="4"/>
        <v>0.99614100450627907</v>
      </c>
      <c r="L117" s="138"/>
      <c r="M117" s="138"/>
    </row>
    <row r="118" spans="2:13" s="109" customFormat="1" ht="15" x14ac:dyDescent="0.25">
      <c r="B118" s="457" t="s">
        <v>970</v>
      </c>
      <c r="C118" s="457" t="s">
        <v>212</v>
      </c>
      <c r="D118" s="458" t="s">
        <v>971</v>
      </c>
      <c r="E118" s="457" t="s">
        <v>22</v>
      </c>
      <c r="F118" s="457">
        <v>7</v>
      </c>
      <c r="G118" s="459">
        <v>38.69</v>
      </c>
      <c r="H118" s="459">
        <v>270.88</v>
      </c>
      <c r="I118" s="460">
        <f t="shared" si="5"/>
        <v>2.4136709868478442E-4</v>
      </c>
      <c r="J118" s="419">
        <f t="shared" si="4"/>
        <v>0.9963823716049639</v>
      </c>
      <c r="L118" s="138"/>
      <c r="M118" s="138"/>
    </row>
    <row r="119" spans="2:13" s="109" customFormat="1" ht="15" x14ac:dyDescent="0.25">
      <c r="B119" s="457" t="s">
        <v>1239</v>
      </c>
      <c r="C119" s="457" t="s">
        <v>124</v>
      </c>
      <c r="D119" s="458" t="s">
        <v>1240</v>
      </c>
      <c r="E119" s="457" t="s">
        <v>22</v>
      </c>
      <c r="F119" s="457">
        <v>5</v>
      </c>
      <c r="G119" s="459">
        <v>48.58</v>
      </c>
      <c r="H119" s="459">
        <v>242.94</v>
      </c>
      <c r="I119" s="460">
        <f t="shared" si="5"/>
        <v>2.1647121586858213E-4</v>
      </c>
      <c r="J119" s="419">
        <f t="shared" si="4"/>
        <v>0.99659884282083244</v>
      </c>
      <c r="L119" s="138"/>
      <c r="M119" s="138"/>
    </row>
    <row r="120" spans="2:13" s="109" customFormat="1" ht="15" x14ac:dyDescent="0.25">
      <c r="B120" s="457" t="s">
        <v>747</v>
      </c>
      <c r="C120" s="457" t="s">
        <v>124</v>
      </c>
      <c r="D120" s="458" t="s">
        <v>443</v>
      </c>
      <c r="E120" s="457" t="s">
        <v>22</v>
      </c>
      <c r="F120" s="457">
        <v>36</v>
      </c>
      <c r="G120" s="459">
        <v>6.45</v>
      </c>
      <c r="H120" s="459">
        <v>232.26</v>
      </c>
      <c r="I120" s="460">
        <f t="shared" si="5"/>
        <v>2.0695482258021274E-4</v>
      </c>
      <c r="J120" s="419">
        <f t="shared" si="4"/>
        <v>0.99680579764341271</v>
      </c>
      <c r="L120" s="138"/>
      <c r="M120" s="138"/>
    </row>
    <row r="121" spans="2:13" s="109" customFormat="1" ht="15" x14ac:dyDescent="0.25">
      <c r="B121" s="457" t="s">
        <v>889</v>
      </c>
      <c r="C121" s="457" t="s">
        <v>849</v>
      </c>
      <c r="D121" s="458" t="s">
        <v>890</v>
      </c>
      <c r="E121" s="457" t="s">
        <v>225</v>
      </c>
      <c r="F121" s="457">
        <v>2</v>
      </c>
      <c r="G121" s="459">
        <v>112.95</v>
      </c>
      <c r="H121" s="459">
        <v>225.91</v>
      </c>
      <c r="I121" s="460">
        <f t="shared" si="5"/>
        <v>2.0129666739471223E-4</v>
      </c>
      <c r="J121" s="419">
        <f t="shared" si="4"/>
        <v>0.99700709431080736</v>
      </c>
      <c r="L121" s="138"/>
      <c r="M121" s="138"/>
    </row>
    <row r="122" spans="2:13" s="109" customFormat="1" ht="15" x14ac:dyDescent="0.25">
      <c r="B122" s="457" t="s">
        <v>964</v>
      </c>
      <c r="C122" s="457" t="s">
        <v>212</v>
      </c>
      <c r="D122" s="458" t="s">
        <v>965</v>
      </c>
      <c r="E122" s="457" t="s">
        <v>22</v>
      </c>
      <c r="F122" s="457">
        <v>4</v>
      </c>
      <c r="G122" s="459">
        <v>50.4</v>
      </c>
      <c r="H122" s="459">
        <v>201.62</v>
      </c>
      <c r="I122" s="460">
        <f t="shared" si="5"/>
        <v>1.7965311000009686E-4</v>
      </c>
      <c r="J122" s="419">
        <f t="shared" si="4"/>
        <v>0.99718674742080748</v>
      </c>
      <c r="L122" s="138"/>
      <c r="M122" s="138"/>
    </row>
    <row r="123" spans="2:13" s="109" customFormat="1" ht="28.5" x14ac:dyDescent="0.25">
      <c r="B123" s="457" t="s">
        <v>746</v>
      </c>
      <c r="C123" s="457" t="s">
        <v>124</v>
      </c>
      <c r="D123" s="458" t="s">
        <v>440</v>
      </c>
      <c r="E123" s="457" t="s">
        <v>22</v>
      </c>
      <c r="F123" s="457">
        <v>13</v>
      </c>
      <c r="G123" s="459">
        <v>15.39</v>
      </c>
      <c r="H123" s="459">
        <v>200.08</v>
      </c>
      <c r="I123" s="460">
        <f t="shared" si="5"/>
        <v>1.7828089598660539E-4</v>
      </c>
      <c r="J123" s="419">
        <f t="shared" si="4"/>
        <v>0.99736502831679408</v>
      </c>
      <c r="L123" s="138"/>
      <c r="M123" s="138"/>
    </row>
    <row r="124" spans="2:13" s="109" customFormat="1" ht="28.5" x14ac:dyDescent="0.25">
      <c r="B124" s="457" t="s">
        <v>920</v>
      </c>
      <c r="C124" s="457" t="s">
        <v>124</v>
      </c>
      <c r="D124" s="458" t="s">
        <v>921</v>
      </c>
      <c r="E124" s="457" t="s">
        <v>225</v>
      </c>
      <c r="F124" s="457">
        <v>30</v>
      </c>
      <c r="G124" s="459">
        <v>6.32</v>
      </c>
      <c r="H124" s="459">
        <v>189.89</v>
      </c>
      <c r="I124" s="460">
        <f t="shared" si="5"/>
        <v>1.6920111624798328E-4</v>
      </c>
      <c r="J124" s="419">
        <f t="shared" si="4"/>
        <v>0.99753422943304204</v>
      </c>
      <c r="L124" s="138"/>
      <c r="M124" s="138"/>
    </row>
    <row r="125" spans="2:13" s="109" customFormat="1" ht="28.5" x14ac:dyDescent="0.25">
      <c r="B125" s="457">
        <v>91967</v>
      </c>
      <c r="C125" s="457" t="s">
        <v>31</v>
      </c>
      <c r="D125" s="458" t="s">
        <v>745</v>
      </c>
      <c r="E125" s="457" t="s">
        <v>22</v>
      </c>
      <c r="F125" s="457">
        <v>3</v>
      </c>
      <c r="G125" s="459">
        <v>62.07</v>
      </c>
      <c r="H125" s="459">
        <v>186.23</v>
      </c>
      <c r="I125" s="460">
        <f t="shared" si="5"/>
        <v>1.6593988034578928E-4</v>
      </c>
      <c r="J125" s="419">
        <f t="shared" si="4"/>
        <v>0.99770016931338779</v>
      </c>
      <c r="L125" s="138"/>
      <c r="M125" s="138"/>
    </row>
    <row r="126" spans="2:13" s="109" customFormat="1" ht="15" x14ac:dyDescent="0.25">
      <c r="B126" s="457" t="s">
        <v>1261</v>
      </c>
      <c r="C126" s="457" t="s">
        <v>124</v>
      </c>
      <c r="D126" s="458" t="s">
        <v>1262</v>
      </c>
      <c r="E126" s="457" t="s">
        <v>22</v>
      </c>
      <c r="F126" s="457">
        <v>15</v>
      </c>
      <c r="G126" s="459">
        <v>12.31</v>
      </c>
      <c r="H126" s="459">
        <v>184.76</v>
      </c>
      <c r="I126" s="460">
        <f t="shared" si="5"/>
        <v>1.6463003969654743E-4</v>
      </c>
      <c r="J126" s="419">
        <f t="shared" si="4"/>
        <v>0.99786479935308436</v>
      </c>
      <c r="L126" s="138"/>
      <c r="M126" s="138"/>
    </row>
    <row r="127" spans="2:13" s="109" customFormat="1" ht="15" x14ac:dyDescent="0.25">
      <c r="B127" s="457">
        <v>64325</v>
      </c>
      <c r="C127" s="457" t="s">
        <v>212</v>
      </c>
      <c r="D127" s="458" t="s">
        <v>892</v>
      </c>
      <c r="E127" s="457" t="s">
        <v>22</v>
      </c>
      <c r="F127" s="457">
        <v>2</v>
      </c>
      <c r="G127" s="459">
        <v>89.77</v>
      </c>
      <c r="H127" s="459">
        <v>179.54</v>
      </c>
      <c r="I127" s="460">
        <f t="shared" si="5"/>
        <v>1.5997876881964778E-4</v>
      </c>
      <c r="J127" s="419">
        <f t="shared" si="4"/>
        <v>0.99802477812190404</v>
      </c>
      <c r="L127" s="138"/>
      <c r="M127" s="138"/>
    </row>
    <row r="128" spans="2:13" s="109" customFormat="1" ht="28.5" x14ac:dyDescent="0.25">
      <c r="B128" s="457">
        <v>12525</v>
      </c>
      <c r="C128" s="457" t="s">
        <v>175</v>
      </c>
      <c r="D128" s="458" t="s">
        <v>1207</v>
      </c>
      <c r="E128" s="457" t="s">
        <v>225</v>
      </c>
      <c r="F128" s="457">
        <v>8</v>
      </c>
      <c r="G128" s="459">
        <v>18.22</v>
      </c>
      <c r="H128" s="459">
        <v>145.76</v>
      </c>
      <c r="I128" s="460">
        <f t="shared" si="5"/>
        <v>1.2987916532890644E-4</v>
      </c>
      <c r="J128" s="419">
        <f t="shared" si="4"/>
        <v>0.99815465728723296</v>
      </c>
      <c r="L128" s="138"/>
      <c r="M128" s="138"/>
    </row>
    <row r="129" spans="2:13" s="109" customFormat="1" ht="15" x14ac:dyDescent="0.25">
      <c r="B129" s="457" t="s">
        <v>1023</v>
      </c>
      <c r="C129" s="457" t="s">
        <v>124</v>
      </c>
      <c r="D129" s="458" t="s">
        <v>1024</v>
      </c>
      <c r="E129" s="457" t="s">
        <v>22</v>
      </c>
      <c r="F129" s="457">
        <v>1</v>
      </c>
      <c r="G129" s="459">
        <v>139.43</v>
      </c>
      <c r="H129" s="459">
        <v>139.43</v>
      </c>
      <c r="I129" s="460">
        <f t="shared" si="5"/>
        <v>1.2423883110462009E-4</v>
      </c>
      <c r="J129" s="419">
        <f t="shared" si="4"/>
        <v>0.99827889611833753</v>
      </c>
      <c r="L129" s="138"/>
      <c r="M129" s="138"/>
    </row>
    <row r="130" spans="2:13" s="109" customFormat="1" ht="15" x14ac:dyDescent="0.25">
      <c r="B130" s="457" t="s">
        <v>1261</v>
      </c>
      <c r="C130" s="457" t="s">
        <v>124</v>
      </c>
      <c r="D130" s="458" t="s">
        <v>1262</v>
      </c>
      <c r="E130" s="457" t="s">
        <v>22</v>
      </c>
      <c r="F130" s="457">
        <v>11</v>
      </c>
      <c r="G130" s="459">
        <v>12.31</v>
      </c>
      <c r="H130" s="459">
        <v>135.49</v>
      </c>
      <c r="I130" s="460">
        <f t="shared" si="5"/>
        <v>1.2072810174542765E-4</v>
      </c>
      <c r="J130" s="419">
        <f t="shared" si="4"/>
        <v>0.99839962422008299</v>
      </c>
      <c r="L130" s="138"/>
      <c r="M130" s="138"/>
    </row>
    <row r="131" spans="2:13" s="109" customFormat="1" ht="28.5" x14ac:dyDescent="0.25">
      <c r="B131" s="457">
        <v>12616</v>
      </c>
      <c r="C131" s="457" t="s">
        <v>175</v>
      </c>
      <c r="D131" s="458" t="s">
        <v>1250</v>
      </c>
      <c r="E131" s="457" t="s">
        <v>225</v>
      </c>
      <c r="F131" s="457">
        <v>6</v>
      </c>
      <c r="G131" s="459">
        <v>20.75</v>
      </c>
      <c r="H131" s="459">
        <v>124.54</v>
      </c>
      <c r="I131" s="460">
        <f t="shared" si="5"/>
        <v>1.1097112548066691E-4</v>
      </c>
      <c r="J131" s="419">
        <f t="shared" si="4"/>
        <v>0.99851059534556363</v>
      </c>
      <c r="L131" s="138"/>
      <c r="M131" s="138"/>
    </row>
    <row r="132" spans="2:13" s="109" customFormat="1" ht="15" x14ac:dyDescent="0.25">
      <c r="B132" s="457" t="s">
        <v>764</v>
      </c>
      <c r="C132" s="457" t="s">
        <v>212</v>
      </c>
      <c r="D132" s="458" t="s">
        <v>765</v>
      </c>
      <c r="E132" s="457" t="s">
        <v>22</v>
      </c>
      <c r="F132" s="457">
        <v>1</v>
      </c>
      <c r="G132" s="459">
        <v>120.97</v>
      </c>
      <c r="H132" s="459">
        <v>120.97</v>
      </c>
      <c r="I132" s="460">
        <f t="shared" si="5"/>
        <v>1.0779008390393669E-4</v>
      </c>
      <c r="J132" s="419">
        <f t="shared" si="4"/>
        <v>0.99861838542946757</v>
      </c>
      <c r="L132" s="138"/>
      <c r="M132" s="138"/>
    </row>
    <row r="133" spans="2:13" s="109" customFormat="1" ht="15" x14ac:dyDescent="0.25">
      <c r="B133" s="457">
        <v>72425</v>
      </c>
      <c r="C133" s="457" t="s">
        <v>874</v>
      </c>
      <c r="D133" s="458" t="s">
        <v>1010</v>
      </c>
      <c r="E133" s="457" t="s">
        <v>824</v>
      </c>
      <c r="F133" s="457">
        <v>21</v>
      </c>
      <c r="G133" s="459">
        <v>5.54</v>
      </c>
      <c r="H133" s="459">
        <v>116.53</v>
      </c>
      <c r="I133" s="460">
        <f t="shared" si="5"/>
        <v>1.0383383051438987E-4</v>
      </c>
      <c r="J133" s="419">
        <f t="shared" si="4"/>
        <v>0.99872221925998195</v>
      </c>
      <c r="L133" s="138"/>
      <c r="M133" s="138"/>
    </row>
    <row r="134" spans="2:13" s="109" customFormat="1" ht="28.5" x14ac:dyDescent="0.25">
      <c r="B134" s="457" t="s">
        <v>1204</v>
      </c>
      <c r="C134" s="457" t="s">
        <v>124</v>
      </c>
      <c r="D134" s="458" t="s">
        <v>1205</v>
      </c>
      <c r="E134" s="457" t="s">
        <v>35</v>
      </c>
      <c r="F134" s="457">
        <v>3</v>
      </c>
      <c r="G134" s="459">
        <v>36.450000000000003</v>
      </c>
      <c r="H134" s="459">
        <v>109.36</v>
      </c>
      <c r="I134" s="460">
        <f t="shared" si="5"/>
        <v>9.7445015919108181E-5</v>
      </c>
      <c r="J134" s="419">
        <f t="shared" si="4"/>
        <v>0.99881966427590108</v>
      </c>
      <c r="L134" s="138"/>
      <c r="M134" s="138"/>
    </row>
    <row r="135" spans="2:13" s="109" customFormat="1" ht="42.75" x14ac:dyDescent="0.25">
      <c r="B135" s="457">
        <v>93008</v>
      </c>
      <c r="C135" s="457" t="s">
        <v>31</v>
      </c>
      <c r="D135" s="458" t="s">
        <v>1365</v>
      </c>
      <c r="E135" s="457" t="s">
        <v>35</v>
      </c>
      <c r="F135" s="457">
        <v>6</v>
      </c>
      <c r="G135" s="459">
        <v>17.829999999999998</v>
      </c>
      <c r="H135" s="459">
        <v>106.98</v>
      </c>
      <c r="I135" s="460">
        <f t="shared" si="5"/>
        <v>9.5324321534621367E-5</v>
      </c>
      <c r="J135" s="419">
        <f t="shared" si="4"/>
        <v>0.99891498859743566</v>
      </c>
      <c r="L135" s="138"/>
      <c r="M135" s="138"/>
    </row>
    <row r="136" spans="2:13" s="109" customFormat="1" ht="15" x14ac:dyDescent="0.25">
      <c r="B136" s="457" t="s">
        <v>980</v>
      </c>
      <c r="C136" s="457" t="s">
        <v>124</v>
      </c>
      <c r="D136" s="458" t="s">
        <v>981</v>
      </c>
      <c r="E136" s="457" t="s">
        <v>824</v>
      </c>
      <c r="F136" s="457">
        <v>116</v>
      </c>
      <c r="G136" s="459">
        <v>0.84</v>
      </c>
      <c r="H136" s="459">
        <v>97.61</v>
      </c>
      <c r="I136" s="460">
        <f t="shared" si="5"/>
        <v>8.6975201205780444E-5</v>
      </c>
      <c r="J136" s="419">
        <f t="shared" si="4"/>
        <v>0.99900196379864148</v>
      </c>
      <c r="L136" s="138"/>
      <c r="M136" s="138"/>
    </row>
    <row r="137" spans="2:13" s="109" customFormat="1" ht="15" x14ac:dyDescent="0.25">
      <c r="B137" s="457" t="s">
        <v>984</v>
      </c>
      <c r="C137" s="457" t="s">
        <v>124</v>
      </c>
      <c r="D137" s="458" t="s">
        <v>985</v>
      </c>
      <c r="E137" s="457" t="s">
        <v>22</v>
      </c>
      <c r="F137" s="457">
        <v>18</v>
      </c>
      <c r="G137" s="459">
        <v>5.39</v>
      </c>
      <c r="H137" s="459">
        <v>97.03</v>
      </c>
      <c r="I137" s="460">
        <f t="shared" si="5"/>
        <v>8.6458393330569373E-5</v>
      </c>
      <c r="J137" s="419">
        <f t="shared" si="4"/>
        <v>0.99908842219197203</v>
      </c>
      <c r="L137" s="138"/>
      <c r="M137" s="138"/>
    </row>
    <row r="138" spans="2:13" s="109" customFormat="1" ht="15" x14ac:dyDescent="0.25">
      <c r="B138" s="457" t="s">
        <v>1210</v>
      </c>
      <c r="C138" s="457" t="s">
        <v>842</v>
      </c>
      <c r="D138" s="458" t="s">
        <v>1211</v>
      </c>
      <c r="E138" s="457" t="s">
        <v>22</v>
      </c>
      <c r="F138" s="457">
        <v>9</v>
      </c>
      <c r="G138" s="459">
        <v>10.72</v>
      </c>
      <c r="H138" s="459">
        <v>96.48</v>
      </c>
      <c r="I138" s="460">
        <f t="shared" si="5"/>
        <v>8.5968316897179573E-5</v>
      </c>
      <c r="J138" s="419">
        <f t="shared" si="4"/>
        <v>0.99917439050886925</v>
      </c>
      <c r="L138" s="138"/>
      <c r="M138" s="138"/>
    </row>
    <row r="139" spans="2:13" s="109" customFormat="1" ht="15" x14ac:dyDescent="0.25">
      <c r="B139" s="457" t="s">
        <v>966</v>
      </c>
      <c r="C139" s="457" t="s">
        <v>212</v>
      </c>
      <c r="D139" s="458" t="s">
        <v>967</v>
      </c>
      <c r="E139" s="457" t="s">
        <v>22</v>
      </c>
      <c r="F139" s="457">
        <v>2</v>
      </c>
      <c r="G139" s="459">
        <v>45.29</v>
      </c>
      <c r="H139" s="459">
        <v>90.59</v>
      </c>
      <c r="I139" s="460">
        <f t="shared" si="5"/>
        <v>8.0720043819605062E-5</v>
      </c>
      <c r="J139" s="419">
        <f t="shared" ref="J139:J155" si="6">+I139+J138</f>
        <v>0.9992551105526889</v>
      </c>
      <c r="L139" s="138"/>
      <c r="M139" s="138"/>
    </row>
    <row r="140" spans="2:13" s="109" customFormat="1" ht="15" x14ac:dyDescent="0.25">
      <c r="B140" s="457" t="s">
        <v>1255</v>
      </c>
      <c r="C140" s="457" t="s">
        <v>264</v>
      </c>
      <c r="D140" s="458" t="s">
        <v>1256</v>
      </c>
      <c r="E140" s="457" t="s">
        <v>35</v>
      </c>
      <c r="F140" s="457">
        <v>0.5</v>
      </c>
      <c r="G140" s="459">
        <v>173.79</v>
      </c>
      <c r="H140" s="459">
        <v>86.89</v>
      </c>
      <c r="I140" s="460">
        <f t="shared" si="5"/>
        <v>7.7423165994982713E-5</v>
      </c>
      <c r="J140" s="419">
        <f t="shared" si="6"/>
        <v>0.99933253371868391</v>
      </c>
      <c r="L140" s="138"/>
      <c r="M140" s="138"/>
    </row>
    <row r="141" spans="2:13" s="109" customFormat="1" ht="15" x14ac:dyDescent="0.25">
      <c r="B141" s="457" t="s">
        <v>1241</v>
      </c>
      <c r="C141" s="457" t="s">
        <v>124</v>
      </c>
      <c r="D141" s="458" t="s">
        <v>1242</v>
      </c>
      <c r="E141" s="457" t="s">
        <v>22</v>
      </c>
      <c r="F141" s="457">
        <v>2</v>
      </c>
      <c r="G141" s="459">
        <v>43</v>
      </c>
      <c r="H141" s="459">
        <v>86</v>
      </c>
      <c r="I141" s="460">
        <f t="shared" si="5"/>
        <v>7.6630133220951933E-5</v>
      </c>
      <c r="J141" s="419">
        <f t="shared" si="6"/>
        <v>0.99940916385190481</v>
      </c>
      <c r="L141" s="138"/>
      <c r="M141" s="138"/>
    </row>
    <row r="142" spans="2:13" s="109" customFormat="1" ht="15" x14ac:dyDescent="0.25">
      <c r="B142" s="457">
        <v>9527</v>
      </c>
      <c r="C142" s="457" t="s">
        <v>175</v>
      </c>
      <c r="D142" s="458" t="s">
        <v>1221</v>
      </c>
      <c r="E142" s="457" t="s">
        <v>851</v>
      </c>
      <c r="F142" s="457">
        <v>4</v>
      </c>
      <c r="G142" s="459">
        <v>20.92</v>
      </c>
      <c r="H142" s="459">
        <v>83.71</v>
      </c>
      <c r="I142" s="460">
        <f t="shared" si="5"/>
        <v>7.4589633161928907E-5</v>
      </c>
      <c r="J142" s="419">
        <f t="shared" si="6"/>
        <v>0.99948375348506679</v>
      </c>
      <c r="L142" s="138"/>
      <c r="M142" s="138"/>
    </row>
    <row r="143" spans="2:13" s="109" customFormat="1" ht="28.5" x14ac:dyDescent="0.25">
      <c r="B143" s="457">
        <v>8688</v>
      </c>
      <c r="C143" s="457" t="s">
        <v>175</v>
      </c>
      <c r="D143" s="458" t="s">
        <v>1244</v>
      </c>
      <c r="E143" s="457" t="s">
        <v>225</v>
      </c>
      <c r="F143" s="457">
        <v>2</v>
      </c>
      <c r="G143" s="459">
        <v>37.28</v>
      </c>
      <c r="H143" s="459">
        <v>74.56</v>
      </c>
      <c r="I143" s="460">
        <f t="shared" ref="I143:I155" si="7">H143/$H$156</f>
        <v>6.6436543406443905E-5</v>
      </c>
      <c r="J143" s="419">
        <f t="shared" si="6"/>
        <v>0.99955019002847323</v>
      </c>
      <c r="L143" s="138"/>
      <c r="M143" s="138"/>
    </row>
    <row r="144" spans="2:13" s="109" customFormat="1" ht="15" x14ac:dyDescent="0.25">
      <c r="B144" s="457">
        <v>62576</v>
      </c>
      <c r="C144" s="457" t="s">
        <v>212</v>
      </c>
      <c r="D144" s="458" t="s">
        <v>1248</v>
      </c>
      <c r="E144" s="457" t="s">
        <v>22</v>
      </c>
      <c r="F144" s="457">
        <v>1</v>
      </c>
      <c r="G144" s="459">
        <v>64.77</v>
      </c>
      <c r="H144" s="459">
        <v>64.77</v>
      </c>
      <c r="I144" s="460">
        <f t="shared" si="7"/>
        <v>5.7713182892105304E-5</v>
      </c>
      <c r="J144" s="419">
        <f t="shared" si="6"/>
        <v>0.99960790321136539</v>
      </c>
      <c r="L144" s="138"/>
      <c r="M144" s="138"/>
    </row>
    <row r="145" spans="2:13" s="109" customFormat="1" ht="15" x14ac:dyDescent="0.25">
      <c r="B145" s="457" t="s">
        <v>1210</v>
      </c>
      <c r="C145" s="457" t="s">
        <v>842</v>
      </c>
      <c r="D145" s="458" t="s">
        <v>1211</v>
      </c>
      <c r="E145" s="457" t="s">
        <v>22</v>
      </c>
      <c r="F145" s="457">
        <v>6</v>
      </c>
      <c r="G145" s="459">
        <v>10.72</v>
      </c>
      <c r="H145" s="459">
        <v>64.319999999999993</v>
      </c>
      <c r="I145" s="460">
        <f t="shared" si="7"/>
        <v>5.7312211264786369E-5</v>
      </c>
      <c r="J145" s="419">
        <f t="shared" si="6"/>
        <v>0.9996652154226302</v>
      </c>
      <c r="L145" s="138"/>
      <c r="M145" s="138"/>
    </row>
    <row r="146" spans="2:13" s="109" customFormat="1" ht="15" x14ac:dyDescent="0.25">
      <c r="B146" s="457" t="s">
        <v>1210</v>
      </c>
      <c r="C146" s="457" t="s">
        <v>842</v>
      </c>
      <c r="D146" s="458" t="s">
        <v>1211</v>
      </c>
      <c r="E146" s="457" t="s">
        <v>22</v>
      </c>
      <c r="F146" s="457">
        <v>6</v>
      </c>
      <c r="G146" s="459">
        <v>10.72</v>
      </c>
      <c r="H146" s="459">
        <v>64.319999999999993</v>
      </c>
      <c r="I146" s="460">
        <f t="shared" si="7"/>
        <v>5.7312211264786369E-5</v>
      </c>
      <c r="J146" s="419">
        <f t="shared" si="6"/>
        <v>0.99972252763389502</v>
      </c>
      <c r="L146" s="138"/>
      <c r="M146" s="138"/>
    </row>
    <row r="147" spans="2:13" s="109" customFormat="1" ht="15" x14ac:dyDescent="0.25">
      <c r="B147" s="457" t="s">
        <v>1005</v>
      </c>
      <c r="C147" s="457" t="s">
        <v>212</v>
      </c>
      <c r="D147" s="458" t="s">
        <v>1006</v>
      </c>
      <c r="E147" s="457" t="s">
        <v>22</v>
      </c>
      <c r="F147" s="457">
        <v>11</v>
      </c>
      <c r="G147" s="459">
        <v>5.63</v>
      </c>
      <c r="H147" s="459">
        <v>61.98</v>
      </c>
      <c r="I147" s="460">
        <f t="shared" si="7"/>
        <v>5.5227158802727917E-5</v>
      </c>
      <c r="J147" s="419">
        <f t="shared" si="6"/>
        <v>0.9997777547926977</v>
      </c>
      <c r="L147" s="138"/>
      <c r="M147" s="138"/>
    </row>
    <row r="148" spans="2:13" s="109" customFormat="1" ht="15" x14ac:dyDescent="0.25">
      <c r="B148" s="457" t="s">
        <v>747</v>
      </c>
      <c r="C148" s="457" t="s">
        <v>124</v>
      </c>
      <c r="D148" s="458" t="s">
        <v>443</v>
      </c>
      <c r="E148" s="457" t="s">
        <v>22</v>
      </c>
      <c r="F148" s="457">
        <v>9</v>
      </c>
      <c r="G148" s="459">
        <v>6.45</v>
      </c>
      <c r="H148" s="459">
        <v>58.06</v>
      </c>
      <c r="I148" s="460">
        <f t="shared" si="7"/>
        <v>5.1734250404749646E-5</v>
      </c>
      <c r="J148" s="419">
        <f t="shared" si="6"/>
        <v>0.99982948904310243</v>
      </c>
      <c r="L148" s="138"/>
      <c r="M148" s="138"/>
    </row>
    <row r="149" spans="2:13" s="109" customFormat="1" ht="15" x14ac:dyDescent="0.25">
      <c r="B149" s="457">
        <v>62562</v>
      </c>
      <c r="C149" s="457" t="s">
        <v>212</v>
      </c>
      <c r="D149" s="458" t="s">
        <v>1254</v>
      </c>
      <c r="E149" s="457" t="s">
        <v>22</v>
      </c>
      <c r="F149" s="457">
        <v>2</v>
      </c>
      <c r="G149" s="459">
        <v>23.77</v>
      </c>
      <c r="H149" s="459">
        <v>47.54</v>
      </c>
      <c r="I149" s="460">
        <f t="shared" si="7"/>
        <v>4.2360424806093664E-5</v>
      </c>
      <c r="J149" s="419">
        <f t="shared" si="6"/>
        <v>0.99987184946790852</v>
      </c>
      <c r="L149" s="138"/>
      <c r="M149" s="138"/>
    </row>
    <row r="150" spans="2:13" s="109" customFormat="1" ht="28.5" x14ac:dyDescent="0.25">
      <c r="B150" s="457" t="s">
        <v>746</v>
      </c>
      <c r="C150" s="457" t="s">
        <v>124</v>
      </c>
      <c r="D150" s="458" t="s">
        <v>440</v>
      </c>
      <c r="E150" s="457" t="s">
        <v>22</v>
      </c>
      <c r="F150" s="457">
        <v>3</v>
      </c>
      <c r="G150" s="459">
        <v>15.39</v>
      </c>
      <c r="H150" s="459">
        <v>46.17</v>
      </c>
      <c r="I150" s="460">
        <f t="shared" si="7"/>
        <v>4.1139688962922683E-5</v>
      </c>
      <c r="J150" s="419">
        <f t="shared" si="6"/>
        <v>0.99991298915687143</v>
      </c>
      <c r="L150" s="138"/>
      <c r="M150" s="138"/>
    </row>
    <row r="151" spans="2:13" s="109" customFormat="1" ht="15" x14ac:dyDescent="0.25">
      <c r="B151" s="457">
        <v>68207</v>
      </c>
      <c r="C151" s="457" t="s">
        <v>212</v>
      </c>
      <c r="D151" s="458" t="s">
        <v>736</v>
      </c>
      <c r="E151" s="457" t="s">
        <v>35</v>
      </c>
      <c r="F151" s="457">
        <v>0.3</v>
      </c>
      <c r="G151" s="459">
        <v>133.86000000000001</v>
      </c>
      <c r="H151" s="459">
        <v>40.15</v>
      </c>
      <c r="I151" s="460">
        <f t="shared" si="7"/>
        <v>3.5775579637456043E-5</v>
      </c>
      <c r="J151" s="419">
        <f t="shared" si="6"/>
        <v>0.99994876473650884</v>
      </c>
      <c r="L151" s="138"/>
      <c r="M151" s="138"/>
    </row>
    <row r="152" spans="2:13" s="109" customFormat="1" ht="15" x14ac:dyDescent="0.25">
      <c r="B152" s="457">
        <v>60525</v>
      </c>
      <c r="C152" s="457" t="s">
        <v>212</v>
      </c>
      <c r="D152" s="458" t="s">
        <v>305</v>
      </c>
      <c r="E152" s="457" t="s">
        <v>22</v>
      </c>
      <c r="F152" s="457">
        <v>1</v>
      </c>
      <c r="G152" s="459">
        <v>24.51</v>
      </c>
      <c r="H152" s="459">
        <v>24.51</v>
      </c>
      <c r="I152" s="460">
        <f t="shared" si="7"/>
        <v>2.1839587967971303E-5</v>
      </c>
      <c r="J152" s="419">
        <f t="shared" si="6"/>
        <v>0.99997060432447682</v>
      </c>
      <c r="L152" s="138"/>
      <c r="M152" s="138"/>
    </row>
    <row r="153" spans="2:13" s="109" customFormat="1" ht="15" x14ac:dyDescent="0.25">
      <c r="B153" s="457">
        <v>9988</v>
      </c>
      <c r="C153" s="457" t="s">
        <v>175</v>
      </c>
      <c r="D153" s="458" t="s">
        <v>1222</v>
      </c>
      <c r="E153" s="457" t="s">
        <v>225</v>
      </c>
      <c r="F153" s="457">
        <v>3</v>
      </c>
      <c r="G153" s="459">
        <v>6.23</v>
      </c>
      <c r="H153" s="459">
        <v>18.690000000000001</v>
      </c>
      <c r="I153" s="460">
        <f t="shared" si="7"/>
        <v>1.6653688254646415E-5</v>
      </c>
      <c r="J153" s="419">
        <f t="shared" si="6"/>
        <v>0.99998725801273147</v>
      </c>
      <c r="L153" s="138"/>
      <c r="M153" s="138"/>
    </row>
    <row r="154" spans="2:13" s="109" customFormat="1" ht="15" x14ac:dyDescent="0.25">
      <c r="B154" s="457">
        <v>11819</v>
      </c>
      <c r="C154" s="457" t="s">
        <v>175</v>
      </c>
      <c r="D154" s="458" t="s">
        <v>942</v>
      </c>
      <c r="E154" s="457" t="s">
        <v>225</v>
      </c>
      <c r="F154" s="457">
        <v>1</v>
      </c>
      <c r="G154" s="459">
        <v>7.85</v>
      </c>
      <c r="H154" s="459">
        <v>7.85</v>
      </c>
      <c r="I154" s="460">
        <f t="shared" si="7"/>
        <v>6.9947272765636356E-6</v>
      </c>
      <c r="J154" s="419">
        <f t="shared" si="6"/>
        <v>0.99999425274000808</v>
      </c>
      <c r="L154" s="138"/>
      <c r="M154" s="138"/>
    </row>
    <row r="155" spans="2:13" s="109" customFormat="1" ht="15" x14ac:dyDescent="0.25">
      <c r="B155" s="457" t="s">
        <v>747</v>
      </c>
      <c r="C155" s="457" t="s">
        <v>124</v>
      </c>
      <c r="D155" s="458" t="s">
        <v>443</v>
      </c>
      <c r="E155" s="457" t="s">
        <v>22</v>
      </c>
      <c r="F155" s="457">
        <v>1</v>
      </c>
      <c r="G155" s="459">
        <v>6.45</v>
      </c>
      <c r="H155" s="459">
        <v>6.45</v>
      </c>
      <c r="I155" s="460">
        <f t="shared" si="7"/>
        <v>5.7472599915713951E-6</v>
      </c>
      <c r="J155" s="419">
        <f t="shared" si="6"/>
        <v>0.99999999999999967</v>
      </c>
      <c r="L155" s="138"/>
      <c r="M155" s="138"/>
    </row>
    <row r="156" spans="2:13" s="139" customFormat="1" ht="24.95" customHeight="1" thickBot="1" x14ac:dyDescent="0.3">
      <c r="B156" s="598" t="s">
        <v>251</v>
      </c>
      <c r="C156" s="599"/>
      <c r="D156" s="599"/>
      <c r="E156" s="599"/>
      <c r="F156" s="599"/>
      <c r="G156" s="600"/>
      <c r="H156" s="410">
        <f>SUM(H15:H155)</f>
        <v>1122273.9200000006</v>
      </c>
      <c r="I156" s="411"/>
      <c r="J156" s="412"/>
    </row>
  </sheetData>
  <sortState ref="B15:H200">
    <sortCondition descending="1" ref="H15:H200"/>
  </sortState>
  <mergeCells count="12">
    <mergeCell ref="B1:J6"/>
    <mergeCell ref="J13:J14"/>
    <mergeCell ref="B156:G156"/>
    <mergeCell ref="I13:I14"/>
    <mergeCell ref="B13:B14"/>
    <mergeCell ref="C13:C14"/>
    <mergeCell ref="D13:D14"/>
    <mergeCell ref="E13:E14"/>
    <mergeCell ref="F13:F14"/>
    <mergeCell ref="G13:G14"/>
    <mergeCell ref="H13:H14"/>
    <mergeCell ref="C11:G12"/>
  </mergeCells>
  <printOptions horizontalCentered="1"/>
  <pageMargins left="0.51181102362204722" right="0.51181102362204722" top="0.78740157480314965" bottom="0.98425196850393704" header="0.31496062992125984" footer="0.31496062992125984"/>
  <pageSetup paperSize="9" scale="73" orientation="landscape" horizontalDpi="1200" verticalDpi="1200" r:id="rId1"/>
  <headerFooter>
    <oddFooter>&amp;L&amp;"Arial Narrow,Normal"&amp;10&amp;A
&amp;F&amp;C&amp;"Arial Narrow,Negrito"&amp;10ENG. CIVIL THIAGO ALVES SILVA&amp;"Arial Narrow,Normal"
CREA 1004804750/D-GO&amp;R&amp;"Arial Narrow,Normal"&amp;10Página &amp;P de &amp;N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I173"/>
  <sheetViews>
    <sheetView workbookViewId="0">
      <selection activeCell="H157" sqref="H3:H157"/>
    </sheetView>
  </sheetViews>
  <sheetFormatPr defaultColWidth="44.42578125" defaultRowHeight="15" x14ac:dyDescent="0.25"/>
  <cols>
    <col min="1" max="1" width="21.140625" bestFit="1" customWidth="1"/>
    <col min="2" max="2" width="10" bestFit="1" customWidth="1"/>
    <col min="4" max="4" width="5.85546875" bestFit="1" customWidth="1"/>
    <col min="5" max="5" width="7.5703125" bestFit="1" customWidth="1"/>
    <col min="6" max="6" width="6.85546875" bestFit="1" customWidth="1"/>
    <col min="7" max="7" width="7.5703125" bestFit="1" customWidth="1"/>
    <col min="8" max="8" width="5.42578125" customWidth="1"/>
  </cols>
  <sheetData>
    <row r="1" spans="1:9" x14ac:dyDescent="0.25">
      <c r="A1" s="500" t="s">
        <v>45</v>
      </c>
      <c r="B1" s="500" t="s">
        <v>44</v>
      </c>
      <c r="C1" s="500" t="s">
        <v>28</v>
      </c>
      <c r="D1" s="500" t="s">
        <v>22</v>
      </c>
      <c r="E1" s="513" t="s">
        <v>12</v>
      </c>
      <c r="F1" s="399"/>
      <c r="G1" s="500" t="s">
        <v>10</v>
      </c>
      <c r="H1" s="509" t="s">
        <v>23</v>
      </c>
    </row>
    <row r="2" spans="1:9" ht="15.75" thickBot="1" x14ac:dyDescent="0.3">
      <c r="A2" s="501"/>
      <c r="B2" s="501"/>
      <c r="C2" s="501"/>
      <c r="D2" s="501"/>
      <c r="E2" s="514"/>
      <c r="F2" s="159" t="s">
        <v>10</v>
      </c>
      <c r="G2" s="501"/>
      <c r="H2" s="510"/>
    </row>
    <row r="3" spans="1:9" ht="25.5" x14ac:dyDescent="0.25">
      <c r="A3" s="160" t="s">
        <v>1013</v>
      </c>
      <c r="B3" s="160" t="s">
        <v>212</v>
      </c>
      <c r="C3" s="210" t="s">
        <v>1014</v>
      </c>
      <c r="D3" s="203" t="s">
        <v>22</v>
      </c>
      <c r="E3" s="204">
        <v>210</v>
      </c>
      <c r="F3" s="167">
        <v>1139.6300000000001</v>
      </c>
      <c r="G3" s="169">
        <f>F3*E3</f>
        <v>239322.30000000002</v>
      </c>
      <c r="H3" s="161">
        <f t="shared" ref="H3:H34" si="0">G3/$I$3</f>
        <v>0.11062264135550168</v>
      </c>
      <c r="I3">
        <v>2163411.5500000003</v>
      </c>
    </row>
    <row r="4" spans="1:9" ht="25.5" x14ac:dyDescent="0.25">
      <c r="A4" s="160" t="s">
        <v>727</v>
      </c>
      <c r="B4" s="160" t="s">
        <v>31</v>
      </c>
      <c r="C4" s="163" t="s">
        <v>728</v>
      </c>
      <c r="D4" s="160" t="s">
        <v>119</v>
      </c>
      <c r="E4" s="164">
        <v>4</v>
      </c>
      <c r="F4" s="167">
        <v>43253.47</v>
      </c>
      <c r="G4" s="169">
        <f t="shared" ref="G4:G67" si="1">F4*E4</f>
        <v>173013.88</v>
      </c>
      <c r="H4" s="161">
        <f t="shared" si="0"/>
        <v>7.9972707920506383E-2</v>
      </c>
    </row>
    <row r="5" spans="1:9" ht="25.5" x14ac:dyDescent="0.25">
      <c r="A5" s="160" t="s">
        <v>1223</v>
      </c>
      <c r="B5" s="171" t="s">
        <v>212</v>
      </c>
      <c r="C5" s="163" t="s">
        <v>1224</v>
      </c>
      <c r="D5" s="160" t="s">
        <v>22</v>
      </c>
      <c r="E5" s="164">
        <v>75</v>
      </c>
      <c r="F5" s="167">
        <v>1857.79</v>
      </c>
      <c r="G5" s="169">
        <f t="shared" si="1"/>
        <v>139334.25</v>
      </c>
      <c r="H5" s="161">
        <f t="shared" si="0"/>
        <v>6.4404874791391398E-2</v>
      </c>
    </row>
    <row r="6" spans="1:9" x14ac:dyDescent="0.25">
      <c r="A6" s="160" t="s">
        <v>861</v>
      </c>
      <c r="B6" s="171" t="s">
        <v>124</v>
      </c>
      <c r="C6" s="163" t="s">
        <v>862</v>
      </c>
      <c r="D6" s="160" t="s">
        <v>35</v>
      </c>
      <c r="E6" s="164">
        <v>300</v>
      </c>
      <c r="F6" s="167">
        <v>456.96</v>
      </c>
      <c r="G6" s="169">
        <f t="shared" si="1"/>
        <v>137088</v>
      </c>
      <c r="H6" s="161">
        <f t="shared" si="0"/>
        <v>6.3366584134211534E-2</v>
      </c>
    </row>
    <row r="7" spans="1:9" ht="38.25" x14ac:dyDescent="0.25">
      <c r="A7" s="160">
        <v>1201001104</v>
      </c>
      <c r="B7" s="171" t="s">
        <v>945</v>
      </c>
      <c r="C7" s="163" t="s">
        <v>946</v>
      </c>
      <c r="D7" s="160" t="s">
        <v>22</v>
      </c>
      <c r="E7" s="164">
        <v>501</v>
      </c>
      <c r="F7" s="167">
        <v>256.66000000000003</v>
      </c>
      <c r="G7" s="169">
        <f t="shared" si="1"/>
        <v>128586.66000000002</v>
      </c>
      <c r="H7" s="161">
        <f t="shared" si="0"/>
        <v>5.943698507110217E-2</v>
      </c>
    </row>
    <row r="8" spans="1:9" ht="38.25" x14ac:dyDescent="0.25">
      <c r="A8" s="160" t="s">
        <v>858</v>
      </c>
      <c r="B8" s="171" t="s">
        <v>849</v>
      </c>
      <c r="C8" s="163" t="s">
        <v>859</v>
      </c>
      <c r="D8" s="160" t="s">
        <v>851</v>
      </c>
      <c r="E8" s="164">
        <v>14749.2</v>
      </c>
      <c r="F8" s="167">
        <v>7.63</v>
      </c>
      <c r="G8" s="169">
        <f t="shared" si="1"/>
        <v>112536.39600000001</v>
      </c>
      <c r="H8" s="161">
        <f t="shared" si="0"/>
        <v>5.2018024956925091E-2</v>
      </c>
    </row>
    <row r="9" spans="1:9" ht="25.5" x14ac:dyDescent="0.25">
      <c r="A9" s="160" t="s">
        <v>733</v>
      </c>
      <c r="B9" s="171" t="s">
        <v>124</v>
      </c>
      <c r="C9" s="163" t="s">
        <v>569</v>
      </c>
      <c r="D9" s="160" t="s">
        <v>2</v>
      </c>
      <c r="E9" s="164">
        <v>2129.4699999999998</v>
      </c>
      <c r="F9" s="167">
        <v>46.21</v>
      </c>
      <c r="G9" s="169">
        <f t="shared" si="1"/>
        <v>98402.808699999994</v>
      </c>
      <c r="H9" s="161">
        <f t="shared" si="0"/>
        <v>4.5485015876891285E-2</v>
      </c>
    </row>
    <row r="10" spans="1:9" x14ac:dyDescent="0.25">
      <c r="A10" s="160" t="s">
        <v>997</v>
      </c>
      <c r="B10" s="171" t="s">
        <v>124</v>
      </c>
      <c r="C10" s="163" t="s">
        <v>998</v>
      </c>
      <c r="D10" s="160" t="s">
        <v>35</v>
      </c>
      <c r="E10" s="164">
        <v>141.9</v>
      </c>
      <c r="F10" s="167">
        <v>490.7</v>
      </c>
      <c r="G10" s="169">
        <f t="shared" si="1"/>
        <v>69630.33</v>
      </c>
      <c r="H10" s="161">
        <f t="shared" si="0"/>
        <v>3.2185429536049207E-2</v>
      </c>
    </row>
    <row r="11" spans="1:9" x14ac:dyDescent="0.25">
      <c r="A11" s="401" t="s">
        <v>1263</v>
      </c>
      <c r="B11" s="401" t="s">
        <v>264</v>
      </c>
      <c r="C11" s="401" t="s">
        <v>1264</v>
      </c>
      <c r="D11" s="401" t="s">
        <v>22</v>
      </c>
      <c r="E11" s="405">
        <v>5</v>
      </c>
      <c r="F11" s="407">
        <v>11732.75</v>
      </c>
      <c r="G11" s="169">
        <f t="shared" si="1"/>
        <v>58663.75</v>
      </c>
      <c r="H11" s="161">
        <f t="shared" si="0"/>
        <v>2.711631543244742E-2</v>
      </c>
    </row>
    <row r="12" spans="1:9" x14ac:dyDescent="0.25">
      <c r="A12" s="160" t="s">
        <v>1051</v>
      </c>
      <c r="B12" s="160" t="s">
        <v>31</v>
      </c>
      <c r="C12" s="163" t="s">
        <v>1052</v>
      </c>
      <c r="D12" s="160" t="s">
        <v>119</v>
      </c>
      <c r="E12" s="164">
        <v>4</v>
      </c>
      <c r="F12" s="167">
        <v>14270.8</v>
      </c>
      <c r="G12" s="169">
        <f t="shared" si="1"/>
        <v>57083.199999999997</v>
      </c>
      <c r="H12" s="161">
        <f t="shared" si="0"/>
        <v>2.6385733218443799E-2</v>
      </c>
    </row>
    <row r="13" spans="1:9" ht="25.5" x14ac:dyDescent="0.25">
      <c r="A13" s="160" t="s">
        <v>732</v>
      </c>
      <c r="B13" s="160" t="s">
        <v>212</v>
      </c>
      <c r="C13" s="210" t="s">
        <v>719</v>
      </c>
      <c r="D13" s="203" t="s">
        <v>2</v>
      </c>
      <c r="E13" s="204">
        <v>2129.4650000000001</v>
      </c>
      <c r="F13" s="206">
        <v>26.78</v>
      </c>
      <c r="G13" s="169">
        <f t="shared" si="1"/>
        <v>57027.072700000004</v>
      </c>
      <c r="H13" s="161">
        <f t="shared" si="0"/>
        <v>2.6359789333656833E-2</v>
      </c>
    </row>
    <row r="14" spans="1:9" ht="25.5" x14ac:dyDescent="0.25">
      <c r="A14" s="160" t="s">
        <v>752</v>
      </c>
      <c r="B14" s="171" t="s">
        <v>31</v>
      </c>
      <c r="C14" s="163" t="s">
        <v>753</v>
      </c>
      <c r="D14" s="160" t="s">
        <v>35</v>
      </c>
      <c r="E14" s="164">
        <v>10469.5</v>
      </c>
      <c r="F14" s="167">
        <v>5.07</v>
      </c>
      <c r="G14" s="169">
        <f t="shared" si="1"/>
        <v>53080.365000000005</v>
      </c>
      <c r="H14" s="161">
        <f t="shared" si="0"/>
        <v>2.45354911782735E-2</v>
      </c>
    </row>
    <row r="15" spans="1:9" ht="25.5" x14ac:dyDescent="0.25">
      <c r="A15" s="160" t="s">
        <v>118</v>
      </c>
      <c r="B15" s="160" t="s">
        <v>31</v>
      </c>
      <c r="C15" s="163" t="s">
        <v>112</v>
      </c>
      <c r="D15" s="160" t="s">
        <v>119</v>
      </c>
      <c r="E15" s="164">
        <v>4</v>
      </c>
      <c r="F15" s="167">
        <v>13055.24</v>
      </c>
      <c r="G15" s="169">
        <f t="shared" si="1"/>
        <v>52220.959999999999</v>
      </c>
      <c r="H15" s="161">
        <f t="shared" si="0"/>
        <v>2.4138245910723732E-2</v>
      </c>
    </row>
    <row r="16" spans="1:9" x14ac:dyDescent="0.25">
      <c r="A16" s="401" t="s">
        <v>1044</v>
      </c>
      <c r="B16" s="401" t="s">
        <v>212</v>
      </c>
      <c r="C16" s="401" t="s">
        <v>1045</v>
      </c>
      <c r="D16" s="401" t="s">
        <v>22</v>
      </c>
      <c r="E16" s="405">
        <v>40</v>
      </c>
      <c r="F16" s="407">
        <v>1269.96</v>
      </c>
      <c r="G16" s="169">
        <f t="shared" si="1"/>
        <v>50798.400000000001</v>
      </c>
      <c r="H16" s="161">
        <f t="shared" si="0"/>
        <v>2.3480691872981817E-2</v>
      </c>
    </row>
    <row r="17" spans="1:8" ht="25.5" x14ac:dyDescent="0.25">
      <c r="A17" s="160" t="s">
        <v>762</v>
      </c>
      <c r="B17" s="160" t="s">
        <v>31</v>
      </c>
      <c r="C17" s="210" t="s">
        <v>763</v>
      </c>
      <c r="D17" s="203" t="s">
        <v>22</v>
      </c>
      <c r="E17" s="204">
        <v>30</v>
      </c>
      <c r="F17" s="167">
        <v>1421.33</v>
      </c>
      <c r="G17" s="169">
        <f t="shared" si="1"/>
        <v>42639.899999999994</v>
      </c>
      <c r="H17" s="161">
        <f t="shared" si="0"/>
        <v>1.9709564738156264E-2</v>
      </c>
    </row>
    <row r="18" spans="1:8" x14ac:dyDescent="0.25">
      <c r="A18" s="401" t="s">
        <v>1025</v>
      </c>
      <c r="B18" s="401" t="s">
        <v>874</v>
      </c>
      <c r="C18" s="401" t="s">
        <v>1026</v>
      </c>
      <c r="D18" s="401" t="s">
        <v>824</v>
      </c>
      <c r="E18" s="405">
        <v>960</v>
      </c>
      <c r="F18" s="407">
        <v>39.31</v>
      </c>
      <c r="G18" s="169">
        <f t="shared" si="1"/>
        <v>37737.600000000006</v>
      </c>
      <c r="H18" s="161">
        <f t="shared" si="0"/>
        <v>1.7443560380363137E-2</v>
      </c>
    </row>
    <row r="19" spans="1:8" ht="38.25" x14ac:dyDescent="0.25">
      <c r="A19" s="160">
        <v>91855</v>
      </c>
      <c r="B19" s="171" t="s">
        <v>31</v>
      </c>
      <c r="C19" s="163" t="s">
        <v>935</v>
      </c>
      <c r="D19" s="160" t="s">
        <v>35</v>
      </c>
      <c r="E19" s="164">
        <v>1968.7</v>
      </c>
      <c r="F19" s="167">
        <v>17.899999999999999</v>
      </c>
      <c r="G19" s="169">
        <f t="shared" si="1"/>
        <v>35239.729999999996</v>
      </c>
      <c r="H19" s="161">
        <f t="shared" si="0"/>
        <v>1.6288962680263027E-2</v>
      </c>
    </row>
    <row r="20" spans="1:8" x14ac:dyDescent="0.25">
      <c r="A20" s="160" t="s">
        <v>972</v>
      </c>
      <c r="B20" s="171" t="s">
        <v>212</v>
      </c>
      <c r="C20" s="163" t="s">
        <v>973</v>
      </c>
      <c r="D20" s="160" t="s">
        <v>22</v>
      </c>
      <c r="E20" s="164">
        <v>420</v>
      </c>
      <c r="F20" s="167">
        <v>80.349999999999994</v>
      </c>
      <c r="G20" s="169">
        <f t="shared" si="1"/>
        <v>33747</v>
      </c>
      <c r="H20" s="161">
        <f t="shared" si="0"/>
        <v>1.5598973759754586E-2</v>
      </c>
    </row>
    <row r="21" spans="1:8" x14ac:dyDescent="0.25">
      <c r="A21" s="401" t="s">
        <v>1027</v>
      </c>
      <c r="B21" s="401" t="s">
        <v>264</v>
      </c>
      <c r="C21" s="401" t="s">
        <v>1028</v>
      </c>
      <c r="D21" s="401" t="s">
        <v>22</v>
      </c>
      <c r="E21" s="405">
        <v>480</v>
      </c>
      <c r="F21" s="407">
        <v>64.52</v>
      </c>
      <c r="G21" s="169">
        <f t="shared" si="1"/>
        <v>30969.599999999999</v>
      </c>
      <c r="H21" s="161">
        <f t="shared" si="0"/>
        <v>1.4315168096426219E-2</v>
      </c>
    </row>
    <row r="22" spans="1:8" ht="25.5" x14ac:dyDescent="0.25">
      <c r="A22" s="160" t="s">
        <v>127</v>
      </c>
      <c r="B22" s="160" t="s">
        <v>31</v>
      </c>
      <c r="C22" s="163" t="s">
        <v>108</v>
      </c>
      <c r="D22" s="160" t="s">
        <v>8</v>
      </c>
      <c r="E22" s="164">
        <v>1800</v>
      </c>
      <c r="F22" s="167">
        <v>12.59</v>
      </c>
      <c r="G22" s="169">
        <f t="shared" si="1"/>
        <v>22662</v>
      </c>
      <c r="H22" s="161">
        <f t="shared" si="0"/>
        <v>1.0475122035841954E-2</v>
      </c>
    </row>
    <row r="23" spans="1:8" x14ac:dyDescent="0.25">
      <c r="A23" s="160" t="s">
        <v>1208</v>
      </c>
      <c r="B23" s="171" t="s">
        <v>264</v>
      </c>
      <c r="C23" s="163" t="s">
        <v>1209</v>
      </c>
      <c r="D23" s="160" t="s">
        <v>35</v>
      </c>
      <c r="E23" s="164">
        <v>245.2</v>
      </c>
      <c r="F23" s="167">
        <v>90.85</v>
      </c>
      <c r="G23" s="169">
        <f t="shared" si="1"/>
        <v>22276.42</v>
      </c>
      <c r="H23" s="161">
        <f t="shared" si="0"/>
        <v>1.0296894273306434E-2</v>
      </c>
    </row>
    <row r="24" spans="1:8" x14ac:dyDescent="0.25">
      <c r="A24" s="401" t="s">
        <v>1029</v>
      </c>
      <c r="B24" s="401" t="s">
        <v>175</v>
      </c>
      <c r="C24" s="401" t="s">
        <v>1030</v>
      </c>
      <c r="D24" s="401" t="s">
        <v>225</v>
      </c>
      <c r="E24" s="405">
        <v>5</v>
      </c>
      <c r="F24" s="407">
        <v>4351.74</v>
      </c>
      <c r="G24" s="169">
        <f t="shared" si="1"/>
        <v>21758.699999999997</v>
      </c>
      <c r="H24" s="161">
        <f t="shared" si="0"/>
        <v>1.0057587055038139E-2</v>
      </c>
    </row>
    <row r="25" spans="1:8" x14ac:dyDescent="0.25">
      <c r="A25" s="160" t="s">
        <v>992</v>
      </c>
      <c r="B25" s="171" t="s">
        <v>175</v>
      </c>
      <c r="C25" s="163" t="s">
        <v>993</v>
      </c>
      <c r="D25" s="160" t="s">
        <v>225</v>
      </c>
      <c r="E25" s="164">
        <v>342</v>
      </c>
      <c r="F25" s="167">
        <v>62.64</v>
      </c>
      <c r="G25" s="169">
        <f t="shared" si="1"/>
        <v>21422.880000000001</v>
      </c>
      <c r="H25" s="161">
        <f t="shared" si="0"/>
        <v>9.9023600017296744E-3</v>
      </c>
    </row>
    <row r="26" spans="1:8" x14ac:dyDescent="0.25">
      <c r="A26" s="160" t="s">
        <v>915</v>
      </c>
      <c r="B26" s="171" t="s">
        <v>124</v>
      </c>
      <c r="C26" s="163" t="s">
        <v>916</v>
      </c>
      <c r="D26" s="160" t="s">
        <v>35</v>
      </c>
      <c r="E26" s="164">
        <v>203.8</v>
      </c>
      <c r="F26" s="167">
        <v>88.6</v>
      </c>
      <c r="G26" s="169">
        <f t="shared" si="1"/>
        <v>18056.68</v>
      </c>
      <c r="H26" s="161">
        <f t="shared" si="0"/>
        <v>8.3463916054252359E-3</v>
      </c>
    </row>
    <row r="27" spans="1:8" ht="38.25" x14ac:dyDescent="0.25">
      <c r="A27" s="160">
        <v>91857</v>
      </c>
      <c r="B27" s="171" t="s">
        <v>31</v>
      </c>
      <c r="C27" s="163" t="s">
        <v>934</v>
      </c>
      <c r="D27" s="160" t="s">
        <v>35</v>
      </c>
      <c r="E27" s="164">
        <v>761.6</v>
      </c>
      <c r="F27" s="167">
        <v>23.64</v>
      </c>
      <c r="G27" s="169">
        <f t="shared" si="1"/>
        <v>18004.224000000002</v>
      </c>
      <c r="H27" s="161">
        <f t="shared" si="0"/>
        <v>8.3221447162931152E-3</v>
      </c>
    </row>
    <row r="28" spans="1:8" ht="25.5" x14ac:dyDescent="0.25">
      <c r="A28" s="160" t="s">
        <v>762</v>
      </c>
      <c r="B28" s="160" t="s">
        <v>31</v>
      </c>
      <c r="C28" s="210" t="s">
        <v>763</v>
      </c>
      <c r="D28" s="203" t="s">
        <v>22</v>
      </c>
      <c r="E28" s="204">
        <v>12</v>
      </c>
      <c r="F28" s="167">
        <v>1421.33</v>
      </c>
      <c r="G28" s="169">
        <f t="shared" si="1"/>
        <v>17055.96</v>
      </c>
      <c r="H28" s="161">
        <f t="shared" si="0"/>
        <v>7.883825895262507E-3</v>
      </c>
    </row>
    <row r="29" spans="1:8" x14ac:dyDescent="0.25">
      <c r="A29" s="160" t="s">
        <v>1257</v>
      </c>
      <c r="B29" s="171" t="s">
        <v>212</v>
      </c>
      <c r="C29" s="163" t="s">
        <v>1258</v>
      </c>
      <c r="D29" s="160" t="s">
        <v>35</v>
      </c>
      <c r="E29" s="164">
        <v>97.7</v>
      </c>
      <c r="F29" s="167">
        <v>170.77</v>
      </c>
      <c r="G29" s="169">
        <f t="shared" si="1"/>
        <v>16684.229000000003</v>
      </c>
      <c r="H29" s="161">
        <f t="shared" si="0"/>
        <v>7.7119995961933367E-3</v>
      </c>
    </row>
    <row r="30" spans="1:8" x14ac:dyDescent="0.25">
      <c r="A30" s="160" t="s">
        <v>1021</v>
      </c>
      <c r="B30" s="160" t="s">
        <v>212</v>
      </c>
      <c r="C30" s="210" t="s">
        <v>1022</v>
      </c>
      <c r="D30" s="203" t="s">
        <v>22</v>
      </c>
      <c r="E30" s="204">
        <v>10</v>
      </c>
      <c r="F30" s="167">
        <v>1545.94</v>
      </c>
      <c r="G30" s="169">
        <f t="shared" si="1"/>
        <v>15459.400000000001</v>
      </c>
      <c r="H30" s="161">
        <f t="shared" si="0"/>
        <v>7.1458433324902973E-3</v>
      </c>
    </row>
    <row r="31" spans="1:8" x14ac:dyDescent="0.25">
      <c r="A31" s="160" t="s">
        <v>301</v>
      </c>
      <c r="B31" s="160" t="s">
        <v>212</v>
      </c>
      <c r="C31" s="210" t="s">
        <v>302</v>
      </c>
      <c r="D31" s="203" t="s">
        <v>22</v>
      </c>
      <c r="E31" s="204">
        <v>196.2</v>
      </c>
      <c r="F31" s="167">
        <v>76.2</v>
      </c>
      <c r="G31" s="169">
        <f t="shared" si="1"/>
        <v>14950.44</v>
      </c>
      <c r="H31" s="161">
        <f t="shared" si="0"/>
        <v>6.9105852744476655E-3</v>
      </c>
    </row>
    <row r="32" spans="1:8" ht="38.25" x14ac:dyDescent="0.25">
      <c r="A32" s="160" t="s">
        <v>852</v>
      </c>
      <c r="B32" s="171" t="s">
        <v>849</v>
      </c>
      <c r="C32" s="163" t="s">
        <v>853</v>
      </c>
      <c r="D32" s="160" t="s">
        <v>851</v>
      </c>
      <c r="E32" s="164">
        <v>427.6</v>
      </c>
      <c r="F32" s="167">
        <v>31.84</v>
      </c>
      <c r="G32" s="169">
        <f t="shared" si="1"/>
        <v>13614.784000000001</v>
      </c>
      <c r="H32" s="161">
        <f t="shared" si="0"/>
        <v>6.2932011248622577E-3</v>
      </c>
    </row>
    <row r="33" spans="1:8" x14ac:dyDescent="0.25">
      <c r="A33" s="401" t="s">
        <v>1048</v>
      </c>
      <c r="B33" s="401" t="s">
        <v>212</v>
      </c>
      <c r="C33" s="401" t="s">
        <v>1049</v>
      </c>
      <c r="D33" s="401" t="s">
        <v>2</v>
      </c>
      <c r="E33" s="405">
        <v>175</v>
      </c>
      <c r="F33" s="407">
        <v>75.040000000000006</v>
      </c>
      <c r="G33" s="169">
        <f t="shared" si="1"/>
        <v>13132.000000000002</v>
      </c>
      <c r="H33" s="161">
        <f t="shared" si="0"/>
        <v>6.0700424752747574E-3</v>
      </c>
    </row>
    <row r="34" spans="1:8" ht="38.25" x14ac:dyDescent="0.25">
      <c r="A34" s="160">
        <v>91857</v>
      </c>
      <c r="B34" s="171" t="s">
        <v>31</v>
      </c>
      <c r="C34" s="163" t="s">
        <v>934</v>
      </c>
      <c r="D34" s="160" t="s">
        <v>35</v>
      </c>
      <c r="E34" s="164">
        <v>550</v>
      </c>
      <c r="F34" s="167">
        <v>23.64</v>
      </c>
      <c r="G34" s="169">
        <f t="shared" si="1"/>
        <v>13002</v>
      </c>
      <c r="H34" s="161">
        <f t="shared" si="0"/>
        <v>6.0099521979532734E-3</v>
      </c>
    </row>
    <row r="35" spans="1:8" x14ac:dyDescent="0.25">
      <c r="A35" s="160">
        <v>83388</v>
      </c>
      <c r="B35" s="171" t="s">
        <v>31</v>
      </c>
      <c r="C35" s="163" t="s">
        <v>846</v>
      </c>
      <c r="D35" s="160" t="s">
        <v>22</v>
      </c>
      <c r="E35" s="164">
        <v>636</v>
      </c>
      <c r="F35" s="167">
        <v>19.95</v>
      </c>
      <c r="G35" s="169">
        <f t="shared" si="1"/>
        <v>12688.199999999999</v>
      </c>
      <c r="H35" s="161">
        <f t="shared" ref="H35:H63" si="2">G35/$I$3</f>
        <v>5.8649035131572618E-3</v>
      </c>
    </row>
    <row r="36" spans="1:8" x14ac:dyDescent="0.25">
      <c r="A36" s="160" t="s">
        <v>990</v>
      </c>
      <c r="B36" s="171" t="s">
        <v>175</v>
      </c>
      <c r="C36" s="163" t="s">
        <v>991</v>
      </c>
      <c r="D36" s="160" t="s">
        <v>225</v>
      </c>
      <c r="E36" s="164">
        <v>1384</v>
      </c>
      <c r="F36" s="167">
        <v>8.84</v>
      </c>
      <c r="G36" s="169">
        <f t="shared" si="1"/>
        <v>12234.56</v>
      </c>
      <c r="H36" s="161">
        <f t="shared" si="2"/>
        <v>5.6552161792794335E-3</v>
      </c>
    </row>
    <row r="37" spans="1:8" x14ac:dyDescent="0.25">
      <c r="A37" s="160" t="s">
        <v>1263</v>
      </c>
      <c r="B37" s="160" t="s">
        <v>264</v>
      </c>
      <c r="C37" s="210" t="s">
        <v>1264</v>
      </c>
      <c r="D37" s="203" t="s">
        <v>22</v>
      </c>
      <c r="E37" s="204">
        <v>1</v>
      </c>
      <c r="F37" s="167">
        <v>11732.75</v>
      </c>
      <c r="G37" s="169">
        <f t="shared" si="1"/>
        <v>11732.75</v>
      </c>
      <c r="H37" s="161">
        <f t="shared" si="2"/>
        <v>5.4232630864894842E-3</v>
      </c>
    </row>
    <row r="38" spans="1:8" x14ac:dyDescent="0.25">
      <c r="A38" s="401" t="s">
        <v>766</v>
      </c>
      <c r="B38" s="401" t="s">
        <v>212</v>
      </c>
      <c r="C38" s="401" t="s">
        <v>767</v>
      </c>
      <c r="D38" s="401" t="s">
        <v>768</v>
      </c>
      <c r="E38" s="405">
        <v>420</v>
      </c>
      <c r="F38" s="407">
        <v>26.98</v>
      </c>
      <c r="G38" s="169">
        <f t="shared" si="1"/>
        <v>11331.6</v>
      </c>
      <c r="H38" s="161">
        <f t="shared" si="2"/>
        <v>5.2378383576624611E-3</v>
      </c>
    </row>
    <row r="39" spans="1:8" x14ac:dyDescent="0.25">
      <c r="A39" s="160" t="s">
        <v>1025</v>
      </c>
      <c r="B39" s="160" t="s">
        <v>874</v>
      </c>
      <c r="C39" s="210" t="s">
        <v>1026</v>
      </c>
      <c r="D39" s="203" t="s">
        <v>824</v>
      </c>
      <c r="E39" s="204">
        <v>288</v>
      </c>
      <c r="F39" s="167">
        <v>39.31</v>
      </c>
      <c r="G39" s="169">
        <f t="shared" si="1"/>
        <v>11321.28</v>
      </c>
      <c r="H39" s="161">
        <f t="shared" si="2"/>
        <v>5.2330681141089406E-3</v>
      </c>
    </row>
    <row r="40" spans="1:8" x14ac:dyDescent="0.25">
      <c r="A40" s="160" t="s">
        <v>970</v>
      </c>
      <c r="B40" s="171" t="s">
        <v>212</v>
      </c>
      <c r="C40" s="163" t="s">
        <v>971</v>
      </c>
      <c r="D40" s="160" t="s">
        <v>22</v>
      </c>
      <c r="E40" s="164">
        <v>210</v>
      </c>
      <c r="F40" s="167">
        <v>53.76</v>
      </c>
      <c r="G40" s="169">
        <f t="shared" si="1"/>
        <v>11289.6</v>
      </c>
      <c r="H40" s="161">
        <f t="shared" si="2"/>
        <v>5.2184245757585972E-3</v>
      </c>
    </row>
    <row r="41" spans="1:8" x14ac:dyDescent="0.25">
      <c r="A41" s="160" t="s">
        <v>398</v>
      </c>
      <c r="B41" s="171" t="s">
        <v>212</v>
      </c>
      <c r="C41" s="163" t="s">
        <v>399</v>
      </c>
      <c r="D41" s="160" t="s">
        <v>22</v>
      </c>
      <c r="E41" s="164">
        <v>25</v>
      </c>
      <c r="F41" s="167">
        <v>449.78</v>
      </c>
      <c r="G41" s="169">
        <f t="shared" si="1"/>
        <v>11244.5</v>
      </c>
      <c r="H41" s="161">
        <f t="shared" si="2"/>
        <v>5.1975778718570667E-3</v>
      </c>
    </row>
    <row r="42" spans="1:8" x14ac:dyDescent="0.25">
      <c r="A42" s="401" t="s">
        <v>1208</v>
      </c>
      <c r="B42" s="401" t="s">
        <v>264</v>
      </c>
      <c r="C42" s="401" t="s">
        <v>1209</v>
      </c>
      <c r="D42" s="401" t="s">
        <v>35</v>
      </c>
      <c r="E42" s="405">
        <v>123.5</v>
      </c>
      <c r="F42" s="407">
        <v>90.85</v>
      </c>
      <c r="G42" s="169">
        <f t="shared" si="1"/>
        <v>11219.974999999999</v>
      </c>
      <c r="H42" s="161">
        <f t="shared" si="2"/>
        <v>5.1862416099239172E-3</v>
      </c>
    </row>
    <row r="43" spans="1:8" x14ac:dyDescent="0.25">
      <c r="A43" s="401" t="s">
        <v>915</v>
      </c>
      <c r="B43" s="401" t="s">
        <v>124</v>
      </c>
      <c r="C43" s="401" t="s">
        <v>916</v>
      </c>
      <c r="D43" s="401" t="s">
        <v>35</v>
      </c>
      <c r="E43" s="405">
        <v>123.5</v>
      </c>
      <c r="F43" s="407">
        <v>88.6</v>
      </c>
      <c r="G43" s="169">
        <f t="shared" si="1"/>
        <v>10942.099999999999</v>
      </c>
      <c r="H43" s="161">
        <f t="shared" si="2"/>
        <v>5.0577986421492466E-3</v>
      </c>
    </row>
    <row r="44" spans="1:8" x14ac:dyDescent="0.25">
      <c r="A44" s="160" t="s">
        <v>1033</v>
      </c>
      <c r="B44" s="160" t="s">
        <v>212</v>
      </c>
      <c r="C44" s="210" t="s">
        <v>1034</v>
      </c>
      <c r="D44" s="203" t="s">
        <v>22</v>
      </c>
      <c r="E44" s="204">
        <v>5</v>
      </c>
      <c r="F44" s="167">
        <v>2159.16</v>
      </c>
      <c r="G44" s="169">
        <f t="shared" si="1"/>
        <v>10795.8</v>
      </c>
      <c r="H44" s="161">
        <f t="shared" si="2"/>
        <v>4.9901739685174551E-3</v>
      </c>
    </row>
    <row r="45" spans="1:8" x14ac:dyDescent="0.25">
      <c r="A45" s="160" t="s">
        <v>995</v>
      </c>
      <c r="B45" s="171" t="s">
        <v>175</v>
      </c>
      <c r="C45" s="163" t="s">
        <v>996</v>
      </c>
      <c r="D45" s="160" t="s">
        <v>225</v>
      </c>
      <c r="E45" s="164">
        <v>226</v>
      </c>
      <c r="F45" s="167">
        <v>47.17</v>
      </c>
      <c r="G45" s="169">
        <f t="shared" si="1"/>
        <v>10660.42</v>
      </c>
      <c r="H45" s="161">
        <f t="shared" si="2"/>
        <v>4.9275968781806673E-3</v>
      </c>
    </row>
    <row r="46" spans="1:8" x14ac:dyDescent="0.25">
      <c r="A46" s="160" t="s">
        <v>995</v>
      </c>
      <c r="B46" s="171" t="s">
        <v>175</v>
      </c>
      <c r="C46" s="163" t="s">
        <v>996</v>
      </c>
      <c r="D46" s="160" t="s">
        <v>225</v>
      </c>
      <c r="E46" s="164">
        <v>225.6</v>
      </c>
      <c r="F46" s="167">
        <v>47.17</v>
      </c>
      <c r="G46" s="169">
        <f t="shared" si="1"/>
        <v>10641.552</v>
      </c>
      <c r="H46" s="161">
        <f t="shared" si="2"/>
        <v>4.9188754677768074E-3</v>
      </c>
    </row>
    <row r="47" spans="1:8" x14ac:dyDescent="0.25">
      <c r="A47" s="401" t="s">
        <v>1031</v>
      </c>
      <c r="B47" s="401" t="s">
        <v>264</v>
      </c>
      <c r="C47" s="401" t="s">
        <v>1032</v>
      </c>
      <c r="D47" s="401" t="s">
        <v>22</v>
      </c>
      <c r="E47" s="405">
        <v>5</v>
      </c>
      <c r="F47" s="407">
        <v>1931.92</v>
      </c>
      <c r="G47" s="169">
        <f t="shared" si="1"/>
        <v>9659.6</v>
      </c>
      <c r="H47" s="161">
        <f t="shared" si="2"/>
        <v>4.464984944727691E-3</v>
      </c>
    </row>
    <row r="48" spans="1:8" x14ac:dyDescent="0.25">
      <c r="A48" s="160" t="s">
        <v>1027</v>
      </c>
      <c r="B48" s="160" t="s">
        <v>264</v>
      </c>
      <c r="C48" s="210" t="s">
        <v>1028</v>
      </c>
      <c r="D48" s="203" t="s">
        <v>22</v>
      </c>
      <c r="E48" s="204">
        <v>144</v>
      </c>
      <c r="F48" s="167">
        <v>64.52</v>
      </c>
      <c r="G48" s="169">
        <f t="shared" si="1"/>
        <v>9290.8799999999992</v>
      </c>
      <c r="H48" s="161">
        <f t="shared" si="2"/>
        <v>4.2945504289278657E-3</v>
      </c>
    </row>
    <row r="49" spans="1:8" ht="25.5" x14ac:dyDescent="0.25">
      <c r="A49" s="160" t="s">
        <v>898</v>
      </c>
      <c r="B49" s="171" t="s">
        <v>264</v>
      </c>
      <c r="C49" s="163" t="s">
        <v>899</v>
      </c>
      <c r="D49" s="160" t="s">
        <v>22</v>
      </c>
      <c r="E49" s="164">
        <v>152</v>
      </c>
      <c r="F49" s="167">
        <v>56.5</v>
      </c>
      <c r="G49" s="169">
        <f t="shared" si="1"/>
        <v>8588</v>
      </c>
      <c r="H49" s="161">
        <f t="shared" si="2"/>
        <v>3.9696561664376798E-3</v>
      </c>
    </row>
    <row r="50" spans="1:8" ht="38.25" x14ac:dyDescent="0.25">
      <c r="A50" s="160" t="s">
        <v>848</v>
      </c>
      <c r="B50" s="171" t="s">
        <v>849</v>
      </c>
      <c r="C50" s="163" t="s">
        <v>850</v>
      </c>
      <c r="D50" s="160" t="s">
        <v>851</v>
      </c>
      <c r="E50" s="164">
        <v>347.5</v>
      </c>
      <c r="F50" s="167">
        <v>22.73</v>
      </c>
      <c r="G50" s="169">
        <f t="shared" si="1"/>
        <v>7898.6750000000002</v>
      </c>
      <c r="H50" s="161">
        <f t="shared" si="2"/>
        <v>3.6510274709405147E-3</v>
      </c>
    </row>
    <row r="51" spans="1:8" ht="38.25" x14ac:dyDescent="0.25">
      <c r="A51" s="160" t="s">
        <v>869</v>
      </c>
      <c r="B51" s="171" t="s">
        <v>31</v>
      </c>
      <c r="C51" s="163" t="s">
        <v>870</v>
      </c>
      <c r="D51" s="160" t="s">
        <v>22</v>
      </c>
      <c r="E51" s="164">
        <v>102</v>
      </c>
      <c r="F51" s="167">
        <v>76.47</v>
      </c>
      <c r="G51" s="169">
        <f t="shared" si="1"/>
        <v>7799.94</v>
      </c>
      <c r="H51" s="161">
        <f t="shared" si="2"/>
        <v>3.605388905314848E-3</v>
      </c>
    </row>
    <row r="52" spans="1:8" ht="25.5" x14ac:dyDescent="0.25">
      <c r="A52" s="160" t="s">
        <v>902</v>
      </c>
      <c r="B52" s="171" t="s">
        <v>874</v>
      </c>
      <c r="C52" s="163" t="s">
        <v>903</v>
      </c>
      <c r="D52" s="160" t="s">
        <v>824</v>
      </c>
      <c r="E52" s="164">
        <v>32</v>
      </c>
      <c r="F52" s="167">
        <v>234.28</v>
      </c>
      <c r="G52" s="169">
        <f t="shared" si="1"/>
        <v>7496.96</v>
      </c>
      <c r="H52" s="161">
        <f t="shared" si="2"/>
        <v>3.4653415805235943E-3</v>
      </c>
    </row>
    <row r="53" spans="1:8" ht="25.5" x14ac:dyDescent="0.25">
      <c r="A53" s="160">
        <v>60140</v>
      </c>
      <c r="B53" s="171" t="s">
        <v>212</v>
      </c>
      <c r="C53" s="163" t="s">
        <v>944</v>
      </c>
      <c r="D53" s="160" t="s">
        <v>22</v>
      </c>
      <c r="E53" s="164">
        <v>135</v>
      </c>
      <c r="F53" s="167">
        <v>52.9</v>
      </c>
      <c r="G53" s="169">
        <f t="shared" si="1"/>
        <v>7141.5</v>
      </c>
      <c r="H53" s="161">
        <f t="shared" si="2"/>
        <v>3.3010362730105602E-3</v>
      </c>
    </row>
    <row r="54" spans="1:8" x14ac:dyDescent="0.25">
      <c r="A54" s="401" t="s">
        <v>918</v>
      </c>
      <c r="B54" s="401" t="s">
        <v>124</v>
      </c>
      <c r="C54" s="401" t="s">
        <v>919</v>
      </c>
      <c r="D54" s="401" t="s">
        <v>22</v>
      </c>
      <c r="E54" s="405">
        <v>110</v>
      </c>
      <c r="F54" s="407">
        <v>58.18</v>
      </c>
      <c r="G54" s="169">
        <f t="shared" si="1"/>
        <v>6399.8</v>
      </c>
      <c r="H54" s="161">
        <f t="shared" si="2"/>
        <v>2.9581981292463744E-3</v>
      </c>
    </row>
    <row r="55" spans="1:8" ht="51" x14ac:dyDescent="0.25">
      <c r="A55" s="160">
        <v>101879</v>
      </c>
      <c r="B55" s="171" t="s">
        <v>31</v>
      </c>
      <c r="C55" s="163" t="s">
        <v>951</v>
      </c>
      <c r="D55" s="160" t="s">
        <v>22</v>
      </c>
      <c r="E55" s="164">
        <v>7</v>
      </c>
      <c r="F55" s="167">
        <v>873.32</v>
      </c>
      <c r="G55" s="169">
        <f t="shared" si="1"/>
        <v>6113.2400000000007</v>
      </c>
      <c r="H55" s="161">
        <f t="shared" si="2"/>
        <v>2.8257406687137265E-3</v>
      </c>
    </row>
    <row r="56" spans="1:8" ht="38.25" x14ac:dyDescent="0.25">
      <c r="A56" s="160" t="s">
        <v>856</v>
      </c>
      <c r="B56" s="171" t="s">
        <v>849</v>
      </c>
      <c r="C56" s="163" t="s">
        <v>857</v>
      </c>
      <c r="D56" s="160" t="s">
        <v>851</v>
      </c>
      <c r="E56" s="164">
        <v>42.8</v>
      </c>
      <c r="F56" s="167">
        <v>140.78</v>
      </c>
      <c r="G56" s="169">
        <f t="shared" si="1"/>
        <v>6025.384</v>
      </c>
      <c r="H56" s="161">
        <f t="shared" si="2"/>
        <v>2.7851307348340632E-3</v>
      </c>
    </row>
    <row r="57" spans="1:8" ht="38.25" x14ac:dyDescent="0.25">
      <c r="A57" s="160" t="s">
        <v>259</v>
      </c>
      <c r="B57" s="160" t="s">
        <v>124</v>
      </c>
      <c r="C57" s="163" t="s">
        <v>730</v>
      </c>
      <c r="D57" s="160" t="s">
        <v>119</v>
      </c>
      <c r="E57" s="164">
        <v>4</v>
      </c>
      <c r="F57" s="167">
        <v>1413.61</v>
      </c>
      <c r="G57" s="169">
        <f t="shared" si="1"/>
        <v>5654.44</v>
      </c>
      <c r="H57" s="161">
        <f t="shared" si="2"/>
        <v>2.6136682130591376E-3</v>
      </c>
    </row>
    <row r="58" spans="1:8" x14ac:dyDescent="0.25">
      <c r="A58" s="160" t="s">
        <v>922</v>
      </c>
      <c r="B58" s="160" t="s">
        <v>175</v>
      </c>
      <c r="C58" s="210" t="s">
        <v>923</v>
      </c>
      <c r="D58" s="203" t="s">
        <v>225</v>
      </c>
      <c r="E58" s="204">
        <v>232</v>
      </c>
      <c r="F58" s="167">
        <v>23.38</v>
      </c>
      <c r="G58" s="169">
        <f t="shared" si="1"/>
        <v>5424.16</v>
      </c>
      <c r="H58" s="161">
        <f t="shared" si="2"/>
        <v>2.5072252202776673E-3</v>
      </c>
    </row>
    <row r="59" spans="1:8" ht="38.25" x14ac:dyDescent="0.25">
      <c r="A59" s="160" t="s">
        <v>303</v>
      </c>
      <c r="B59" s="171" t="s">
        <v>31</v>
      </c>
      <c r="C59" s="163" t="s">
        <v>304</v>
      </c>
      <c r="D59" s="160" t="s">
        <v>22</v>
      </c>
      <c r="E59" s="164">
        <v>94</v>
      </c>
      <c r="F59" s="167">
        <v>51.89</v>
      </c>
      <c r="G59" s="169">
        <f t="shared" si="1"/>
        <v>4877.66</v>
      </c>
      <c r="H59" s="161">
        <f t="shared" si="2"/>
        <v>2.2546149390762008E-3</v>
      </c>
    </row>
    <row r="60" spans="1:8" x14ac:dyDescent="0.25">
      <c r="A60" s="160" t="s">
        <v>758</v>
      </c>
      <c r="B60" s="160" t="s">
        <v>212</v>
      </c>
      <c r="C60" s="210" t="s">
        <v>759</v>
      </c>
      <c r="D60" s="203" t="s">
        <v>22</v>
      </c>
      <c r="E60" s="204">
        <v>5</v>
      </c>
      <c r="F60" s="167">
        <v>968.07</v>
      </c>
      <c r="G60" s="169">
        <f t="shared" si="1"/>
        <v>4840.3500000000004</v>
      </c>
      <c r="H60" s="161">
        <f t="shared" si="2"/>
        <v>2.2373690294849352E-3</v>
      </c>
    </row>
    <row r="61" spans="1:8" x14ac:dyDescent="0.25">
      <c r="A61" s="160" t="s">
        <v>1021</v>
      </c>
      <c r="B61" s="171" t="s">
        <v>212</v>
      </c>
      <c r="C61" s="163" t="s">
        <v>1022</v>
      </c>
      <c r="D61" s="160" t="s">
        <v>22</v>
      </c>
      <c r="E61" s="164">
        <v>3</v>
      </c>
      <c r="F61" s="167">
        <v>1545.94</v>
      </c>
      <c r="G61" s="169">
        <f t="shared" si="1"/>
        <v>4637.82</v>
      </c>
      <c r="H61" s="161">
        <f t="shared" si="2"/>
        <v>2.143752999747089E-3</v>
      </c>
    </row>
    <row r="62" spans="1:8" ht="25.5" x14ac:dyDescent="0.25">
      <c r="A62" s="160" t="s">
        <v>1225</v>
      </c>
      <c r="B62" s="171" t="s">
        <v>1226</v>
      </c>
      <c r="C62" s="163" t="s">
        <v>1227</v>
      </c>
      <c r="D62" s="160" t="s">
        <v>22</v>
      </c>
      <c r="E62" s="164">
        <v>5</v>
      </c>
      <c r="F62" s="167">
        <v>918.64</v>
      </c>
      <c r="G62" s="169">
        <f t="shared" si="1"/>
        <v>4593.2</v>
      </c>
      <c r="H62" s="161">
        <f t="shared" si="2"/>
        <v>2.1231281676387459E-3</v>
      </c>
    </row>
    <row r="63" spans="1:8" x14ac:dyDescent="0.25">
      <c r="A63" s="160" t="s">
        <v>878</v>
      </c>
      <c r="B63" s="171" t="s">
        <v>874</v>
      </c>
      <c r="C63" s="163" t="s">
        <v>879</v>
      </c>
      <c r="D63" s="160" t="s">
        <v>824</v>
      </c>
      <c r="E63" s="164">
        <v>124</v>
      </c>
      <c r="F63" s="167">
        <v>36.880000000000003</v>
      </c>
      <c r="G63" s="169">
        <f t="shared" si="1"/>
        <v>4573.12</v>
      </c>
      <c r="H63" s="161">
        <f t="shared" si="2"/>
        <v>2.113846530957089E-3</v>
      </c>
    </row>
    <row r="64" spans="1:8" x14ac:dyDescent="0.25">
      <c r="A64" s="160">
        <v>83387</v>
      </c>
      <c r="B64" s="171" t="s">
        <v>31</v>
      </c>
      <c r="C64" s="163" t="s">
        <v>844</v>
      </c>
      <c r="D64" s="160" t="s">
        <v>22</v>
      </c>
      <c r="E64" s="164">
        <v>262</v>
      </c>
      <c r="F64" s="167">
        <v>17.45</v>
      </c>
      <c r="G64" s="169">
        <f t="shared" si="1"/>
        <v>4571.8999999999996</v>
      </c>
      <c r="H64" s="161">
        <f t="shared" ref="H64:H127" si="3">G64/$I$3</f>
        <v>2.113282606816072E-3</v>
      </c>
    </row>
    <row r="65" spans="1:8" ht="25.5" x14ac:dyDescent="0.25">
      <c r="A65" s="160" t="s">
        <v>258</v>
      </c>
      <c r="B65" s="160" t="s">
        <v>124</v>
      </c>
      <c r="C65" s="163" t="s">
        <v>729</v>
      </c>
      <c r="D65" s="160" t="s">
        <v>119</v>
      </c>
      <c r="E65" s="164">
        <v>4</v>
      </c>
      <c r="F65" s="167">
        <v>1104.3699999999999</v>
      </c>
      <c r="G65" s="169">
        <f t="shared" si="1"/>
        <v>4417.4799999999996</v>
      </c>
      <c r="H65" s="161">
        <f t="shared" si="3"/>
        <v>2.0419046020161992E-3</v>
      </c>
    </row>
    <row r="66" spans="1:8" ht="25.5" x14ac:dyDescent="0.25">
      <c r="A66" s="160" t="s">
        <v>1029</v>
      </c>
      <c r="B66" s="171" t="s">
        <v>175</v>
      </c>
      <c r="C66" s="163" t="s">
        <v>1030</v>
      </c>
      <c r="D66" s="160" t="s">
        <v>225</v>
      </c>
      <c r="E66" s="164">
        <v>1</v>
      </c>
      <c r="F66" s="167">
        <v>4351.74</v>
      </c>
      <c r="G66" s="169">
        <f t="shared" si="1"/>
        <v>4351.74</v>
      </c>
      <c r="H66" s="161">
        <f t="shared" si="3"/>
        <v>2.0115174110076277E-3</v>
      </c>
    </row>
    <row r="67" spans="1:8" ht="25.5" x14ac:dyDescent="0.25">
      <c r="A67" s="160" t="s">
        <v>755</v>
      </c>
      <c r="B67" s="160" t="s">
        <v>212</v>
      </c>
      <c r="C67" s="210" t="s">
        <v>756</v>
      </c>
      <c r="D67" s="203" t="s">
        <v>22</v>
      </c>
      <c r="E67" s="204">
        <v>1</v>
      </c>
      <c r="F67" s="167">
        <v>3960.74</v>
      </c>
      <c r="G67" s="169">
        <f t="shared" si="1"/>
        <v>3960.74</v>
      </c>
      <c r="H67" s="161">
        <f t="shared" si="3"/>
        <v>1.8307843461407051E-3</v>
      </c>
    </row>
    <row r="68" spans="1:8" x14ac:dyDescent="0.25">
      <c r="A68" s="160" t="s">
        <v>760</v>
      </c>
      <c r="B68" s="160" t="s">
        <v>212</v>
      </c>
      <c r="C68" s="210" t="s">
        <v>761</v>
      </c>
      <c r="D68" s="203" t="s">
        <v>22</v>
      </c>
      <c r="E68" s="204">
        <v>40</v>
      </c>
      <c r="F68" s="167">
        <v>90.36</v>
      </c>
      <c r="G68" s="169">
        <f t="shared" ref="G68:G131" si="4">F68*E68</f>
        <v>3614.4</v>
      </c>
      <c r="H68" s="161">
        <f t="shared" si="3"/>
        <v>1.6706946026982244E-3</v>
      </c>
    </row>
    <row r="69" spans="1:8" ht="25.5" x14ac:dyDescent="0.25">
      <c r="A69" s="160" t="s">
        <v>738</v>
      </c>
      <c r="B69" s="171" t="s">
        <v>212</v>
      </c>
      <c r="C69" s="163" t="s">
        <v>739</v>
      </c>
      <c r="D69" s="160" t="s">
        <v>35</v>
      </c>
      <c r="E69" s="164">
        <v>40.9</v>
      </c>
      <c r="F69" s="167">
        <v>83.1</v>
      </c>
      <c r="G69" s="169">
        <f t="shared" si="4"/>
        <v>3398.7899999999995</v>
      </c>
      <c r="H69" s="161">
        <f t="shared" si="3"/>
        <v>1.5710325665960316E-3</v>
      </c>
    </row>
    <row r="70" spans="1:8" ht="25.5" x14ac:dyDescent="0.25">
      <c r="A70" s="160" t="s">
        <v>757</v>
      </c>
      <c r="B70" s="160" t="s">
        <v>124</v>
      </c>
      <c r="C70" s="210" t="s">
        <v>550</v>
      </c>
      <c r="D70" s="203" t="s">
        <v>243</v>
      </c>
      <c r="E70" s="204">
        <v>5</v>
      </c>
      <c r="F70" s="167">
        <v>679.59</v>
      </c>
      <c r="G70" s="169">
        <f t="shared" si="4"/>
        <v>3397.9500000000003</v>
      </c>
      <c r="H70" s="161">
        <f t="shared" si="3"/>
        <v>1.5706442909579547E-3</v>
      </c>
    </row>
    <row r="71" spans="1:8" ht="25.5" x14ac:dyDescent="0.25">
      <c r="A71" s="160" t="s">
        <v>900</v>
      </c>
      <c r="B71" s="171" t="s">
        <v>124</v>
      </c>
      <c r="C71" s="163" t="s">
        <v>901</v>
      </c>
      <c r="D71" s="160" t="s">
        <v>22</v>
      </c>
      <c r="E71" s="164">
        <v>16</v>
      </c>
      <c r="F71" s="167">
        <v>200.29</v>
      </c>
      <c r="G71" s="169">
        <f t="shared" si="4"/>
        <v>3204.64</v>
      </c>
      <c r="H71" s="161">
        <f t="shared" si="3"/>
        <v>1.481290048580909E-3</v>
      </c>
    </row>
    <row r="72" spans="1:8" x14ac:dyDescent="0.25">
      <c r="A72" s="160">
        <v>63004</v>
      </c>
      <c r="B72" s="171" t="s">
        <v>212</v>
      </c>
      <c r="C72" s="163" t="s">
        <v>302</v>
      </c>
      <c r="D72" s="160" t="s">
        <v>22</v>
      </c>
      <c r="E72" s="164">
        <v>39.1</v>
      </c>
      <c r="F72" s="167">
        <v>76.2</v>
      </c>
      <c r="G72" s="169">
        <f t="shared" si="4"/>
        <v>2979.42</v>
      </c>
      <c r="H72" s="161">
        <f t="shared" si="3"/>
        <v>1.3771859542859516E-3</v>
      </c>
    </row>
    <row r="73" spans="1:8" ht="25.5" x14ac:dyDescent="0.25">
      <c r="A73" s="160" t="s">
        <v>918</v>
      </c>
      <c r="B73" s="171" t="s">
        <v>124</v>
      </c>
      <c r="C73" s="163" t="s">
        <v>919</v>
      </c>
      <c r="D73" s="160" t="s">
        <v>22</v>
      </c>
      <c r="E73" s="164">
        <v>46</v>
      </c>
      <c r="F73" s="167">
        <v>58.18</v>
      </c>
      <c r="G73" s="169">
        <f t="shared" si="4"/>
        <v>2676.28</v>
      </c>
      <c r="H73" s="161">
        <f t="shared" si="3"/>
        <v>1.2370646722303022E-3</v>
      </c>
    </row>
    <row r="74" spans="1:8" ht="25.5" x14ac:dyDescent="0.25">
      <c r="A74" s="160" t="s">
        <v>918</v>
      </c>
      <c r="B74" s="171" t="s">
        <v>124</v>
      </c>
      <c r="C74" s="163" t="s">
        <v>919</v>
      </c>
      <c r="D74" s="160" t="s">
        <v>22</v>
      </c>
      <c r="E74" s="164">
        <v>40</v>
      </c>
      <c r="F74" s="167">
        <v>58.18</v>
      </c>
      <c r="G74" s="169">
        <f t="shared" si="4"/>
        <v>2327.1999999999998</v>
      </c>
      <c r="H74" s="161">
        <f t="shared" si="3"/>
        <v>1.0757084106350452E-3</v>
      </c>
    </row>
    <row r="75" spans="1:8" ht="38.25" x14ac:dyDescent="0.25">
      <c r="A75" s="160">
        <v>97670</v>
      </c>
      <c r="B75" s="171" t="s">
        <v>31</v>
      </c>
      <c r="C75" s="163" t="s">
        <v>938</v>
      </c>
      <c r="D75" s="160" t="s">
        <v>35</v>
      </c>
      <c r="E75" s="164">
        <v>63.6</v>
      </c>
      <c r="F75" s="167">
        <v>34.11</v>
      </c>
      <c r="G75" s="169">
        <f t="shared" si="4"/>
        <v>2169.3960000000002</v>
      </c>
      <c r="H75" s="161">
        <f t="shared" si="3"/>
        <v>1.0027662096932042E-3</v>
      </c>
    </row>
    <row r="76" spans="1:8" ht="25.5" x14ac:dyDescent="0.25">
      <c r="A76" s="160" t="s">
        <v>754</v>
      </c>
      <c r="B76" s="171" t="s">
        <v>124</v>
      </c>
      <c r="C76" s="163" t="s">
        <v>541</v>
      </c>
      <c r="D76" s="160" t="s">
        <v>22</v>
      </c>
      <c r="E76" s="164">
        <v>17</v>
      </c>
      <c r="F76" s="167">
        <v>115.74</v>
      </c>
      <c r="G76" s="169">
        <f t="shared" si="4"/>
        <v>1967.58</v>
      </c>
      <c r="H76" s="161">
        <f t="shared" si="3"/>
        <v>9.0948021424772357E-4</v>
      </c>
    </row>
    <row r="77" spans="1:8" ht="25.5" x14ac:dyDescent="0.25">
      <c r="A77" s="160" t="s">
        <v>1031</v>
      </c>
      <c r="B77" s="160" t="s">
        <v>264</v>
      </c>
      <c r="C77" s="210" t="s">
        <v>1032</v>
      </c>
      <c r="D77" s="203" t="s">
        <v>22</v>
      </c>
      <c r="E77" s="204">
        <v>1</v>
      </c>
      <c r="F77" s="167">
        <v>1931.92</v>
      </c>
      <c r="G77" s="169">
        <f t="shared" si="4"/>
        <v>1931.92</v>
      </c>
      <c r="H77" s="161">
        <f t="shared" si="3"/>
        <v>8.9299698894553827E-4</v>
      </c>
    </row>
    <row r="78" spans="1:8" x14ac:dyDescent="0.25">
      <c r="A78" s="160" t="s">
        <v>1237</v>
      </c>
      <c r="B78" s="171" t="s">
        <v>212</v>
      </c>
      <c r="C78" s="163" t="s">
        <v>1238</v>
      </c>
      <c r="D78" s="160" t="s">
        <v>22</v>
      </c>
      <c r="E78" s="164">
        <v>72</v>
      </c>
      <c r="F78" s="167">
        <v>24.8</v>
      </c>
      <c r="G78" s="169">
        <f t="shared" si="4"/>
        <v>1785.6000000000001</v>
      </c>
      <c r="H78" s="161">
        <f t="shared" si="3"/>
        <v>8.2536307065569654E-4</v>
      </c>
    </row>
    <row r="79" spans="1:8" ht="25.5" x14ac:dyDescent="0.25">
      <c r="A79" s="160" t="s">
        <v>748</v>
      </c>
      <c r="B79" s="171" t="s">
        <v>124</v>
      </c>
      <c r="C79" s="163" t="s">
        <v>493</v>
      </c>
      <c r="D79" s="160" t="s">
        <v>225</v>
      </c>
      <c r="E79" s="164">
        <v>132</v>
      </c>
      <c r="F79" s="167">
        <v>12</v>
      </c>
      <c r="G79" s="169">
        <f t="shared" si="4"/>
        <v>1584</v>
      </c>
      <c r="H79" s="161">
        <f t="shared" si="3"/>
        <v>7.3217691751715011E-4</v>
      </c>
    </row>
    <row r="80" spans="1:8" x14ac:dyDescent="0.25">
      <c r="A80" s="160" t="s">
        <v>123</v>
      </c>
      <c r="B80" s="160" t="s">
        <v>124</v>
      </c>
      <c r="C80" s="163" t="s">
        <v>125</v>
      </c>
      <c r="D80" s="160" t="s">
        <v>126</v>
      </c>
      <c r="E80" s="164">
        <v>120</v>
      </c>
      <c r="F80" s="167">
        <v>12.85</v>
      </c>
      <c r="G80" s="169">
        <f t="shared" si="4"/>
        <v>1542</v>
      </c>
      <c r="H80" s="161">
        <f t="shared" si="3"/>
        <v>7.1276313561328627E-4</v>
      </c>
    </row>
    <row r="81" spans="1:8" x14ac:dyDescent="0.25">
      <c r="A81" s="401" t="s">
        <v>748</v>
      </c>
      <c r="B81" s="401" t="s">
        <v>124</v>
      </c>
      <c r="C81" s="401" t="s">
        <v>493</v>
      </c>
      <c r="D81" s="401" t="s">
        <v>225</v>
      </c>
      <c r="E81" s="405">
        <v>116</v>
      </c>
      <c r="F81" s="407">
        <v>12</v>
      </c>
      <c r="G81" s="169">
        <f t="shared" si="4"/>
        <v>1392</v>
      </c>
      <c r="H81" s="161">
        <f t="shared" si="3"/>
        <v>6.4342820024234401E-4</v>
      </c>
    </row>
    <row r="82" spans="1:8" ht="25.5" x14ac:dyDescent="0.25">
      <c r="A82" s="160" t="s">
        <v>917</v>
      </c>
      <c r="B82" s="171" t="s">
        <v>212</v>
      </c>
      <c r="C82" s="163" t="s">
        <v>749</v>
      </c>
      <c r="D82" s="160" t="s">
        <v>22</v>
      </c>
      <c r="E82" s="164">
        <v>183</v>
      </c>
      <c r="F82" s="167">
        <v>7.49</v>
      </c>
      <c r="G82" s="169">
        <f t="shared" si="4"/>
        <v>1370.67</v>
      </c>
      <c r="H82" s="161">
        <f t="shared" si="3"/>
        <v>6.3356877243259601E-4</v>
      </c>
    </row>
    <row r="83" spans="1:8" ht="25.5" x14ac:dyDescent="0.25">
      <c r="A83" s="160" t="s">
        <v>747</v>
      </c>
      <c r="B83" s="171" t="s">
        <v>124</v>
      </c>
      <c r="C83" s="163" t="s">
        <v>443</v>
      </c>
      <c r="D83" s="160" t="s">
        <v>22</v>
      </c>
      <c r="E83" s="164">
        <v>112</v>
      </c>
      <c r="F83" s="167">
        <v>11.06</v>
      </c>
      <c r="G83" s="169">
        <f t="shared" si="4"/>
        <v>1238.72</v>
      </c>
      <c r="H83" s="161">
        <f t="shared" si="3"/>
        <v>5.7257714095129046E-4</v>
      </c>
    </row>
    <row r="84" spans="1:8" x14ac:dyDescent="0.25">
      <c r="A84" s="401" t="s">
        <v>1202</v>
      </c>
      <c r="B84" s="401" t="s">
        <v>212</v>
      </c>
      <c r="C84" s="401" t="s">
        <v>1203</v>
      </c>
      <c r="D84" s="401" t="s">
        <v>22</v>
      </c>
      <c r="E84" s="405">
        <v>6</v>
      </c>
      <c r="F84" s="407">
        <v>192.64</v>
      </c>
      <c r="G84" s="169">
        <f t="shared" si="4"/>
        <v>1155.8399999999999</v>
      </c>
      <c r="H84" s="161">
        <f t="shared" si="3"/>
        <v>5.3426727799433247E-4</v>
      </c>
    </row>
    <row r="85" spans="1:8" x14ac:dyDescent="0.25">
      <c r="A85" s="160">
        <v>9526</v>
      </c>
      <c r="B85" s="171" t="s">
        <v>175</v>
      </c>
      <c r="C85" s="163" t="s">
        <v>923</v>
      </c>
      <c r="D85" s="160" t="s">
        <v>225</v>
      </c>
      <c r="E85" s="164">
        <v>49</v>
      </c>
      <c r="F85" s="167">
        <v>23.38</v>
      </c>
      <c r="G85" s="169">
        <f t="shared" si="4"/>
        <v>1145.6199999999999</v>
      </c>
      <c r="H85" s="161">
        <f t="shared" si="3"/>
        <v>5.2954325773105898E-4</v>
      </c>
    </row>
    <row r="86" spans="1:8" x14ac:dyDescent="0.25">
      <c r="A86" s="160" t="s">
        <v>972</v>
      </c>
      <c r="B86" s="171" t="s">
        <v>212</v>
      </c>
      <c r="C86" s="163" t="s">
        <v>973</v>
      </c>
      <c r="D86" s="160" t="s">
        <v>22</v>
      </c>
      <c r="E86" s="164">
        <v>14</v>
      </c>
      <c r="F86" s="167">
        <v>80.349999999999994</v>
      </c>
      <c r="G86" s="169">
        <f t="shared" si="4"/>
        <v>1124.8999999999999</v>
      </c>
      <c r="H86" s="161">
        <f t="shared" si="3"/>
        <v>5.199657919918194E-4</v>
      </c>
    </row>
    <row r="87" spans="1:8" x14ac:dyDescent="0.25">
      <c r="A87" s="160" t="s">
        <v>760</v>
      </c>
      <c r="B87" s="171" t="s">
        <v>212</v>
      </c>
      <c r="C87" s="163" t="s">
        <v>761</v>
      </c>
      <c r="D87" s="160" t="s">
        <v>22</v>
      </c>
      <c r="E87" s="164">
        <v>12</v>
      </c>
      <c r="F87" s="167">
        <v>90.36</v>
      </c>
      <c r="G87" s="169">
        <f t="shared" si="4"/>
        <v>1084.32</v>
      </c>
      <c r="H87" s="161">
        <f t="shared" si="3"/>
        <v>5.0120838080946724E-4</v>
      </c>
    </row>
    <row r="88" spans="1:8" x14ac:dyDescent="0.25">
      <c r="A88" s="160" t="s">
        <v>1011</v>
      </c>
      <c r="B88" s="160" t="s">
        <v>264</v>
      </c>
      <c r="C88" s="210" t="s">
        <v>1012</v>
      </c>
      <c r="D88" s="203" t="s">
        <v>22</v>
      </c>
      <c r="E88" s="204">
        <v>10</v>
      </c>
      <c r="F88" s="167">
        <v>108.37</v>
      </c>
      <c r="G88" s="169">
        <f t="shared" si="4"/>
        <v>1083.7</v>
      </c>
      <c r="H88" s="161">
        <f t="shared" si="3"/>
        <v>5.0092179640993408E-4</v>
      </c>
    </row>
    <row r="89" spans="1:8" x14ac:dyDescent="0.25">
      <c r="A89" s="401" t="s">
        <v>841</v>
      </c>
      <c r="B89" s="401" t="s">
        <v>842</v>
      </c>
      <c r="C89" s="401" t="s">
        <v>843</v>
      </c>
      <c r="D89" s="401" t="s">
        <v>22</v>
      </c>
      <c r="E89" s="405">
        <v>53</v>
      </c>
      <c r="F89" s="407">
        <v>20.09</v>
      </c>
      <c r="G89" s="169">
        <f t="shared" si="4"/>
        <v>1064.77</v>
      </c>
      <c r="H89" s="161">
        <f t="shared" si="3"/>
        <v>4.9217172756612108E-4</v>
      </c>
    </row>
    <row r="90" spans="1:8" x14ac:dyDescent="0.25">
      <c r="A90" s="160" t="s">
        <v>758</v>
      </c>
      <c r="B90" s="160" t="s">
        <v>212</v>
      </c>
      <c r="C90" s="210" t="s">
        <v>759</v>
      </c>
      <c r="D90" s="203" t="s">
        <v>22</v>
      </c>
      <c r="E90" s="204">
        <v>1</v>
      </c>
      <c r="F90" s="167">
        <v>968.07</v>
      </c>
      <c r="G90" s="169">
        <f t="shared" si="4"/>
        <v>968.07</v>
      </c>
      <c r="H90" s="161">
        <f t="shared" si="3"/>
        <v>4.4747380589698705E-4</v>
      </c>
    </row>
    <row r="91" spans="1:8" x14ac:dyDescent="0.25">
      <c r="A91" s="160" t="s">
        <v>975</v>
      </c>
      <c r="B91" s="171" t="s">
        <v>175</v>
      </c>
      <c r="C91" s="163" t="s">
        <v>815</v>
      </c>
      <c r="D91" s="160" t="s">
        <v>225</v>
      </c>
      <c r="E91" s="164">
        <v>1056</v>
      </c>
      <c r="F91" s="167">
        <v>0.88</v>
      </c>
      <c r="G91" s="169">
        <f t="shared" si="4"/>
        <v>929.28</v>
      </c>
      <c r="H91" s="161">
        <f t="shared" si="3"/>
        <v>4.2954379161006136E-4</v>
      </c>
    </row>
    <row r="92" spans="1:8" x14ac:dyDescent="0.25">
      <c r="A92" s="160" t="s">
        <v>841</v>
      </c>
      <c r="B92" s="171" t="s">
        <v>842</v>
      </c>
      <c r="C92" s="163" t="s">
        <v>843</v>
      </c>
      <c r="D92" s="160" t="s">
        <v>22</v>
      </c>
      <c r="E92" s="164">
        <v>46</v>
      </c>
      <c r="F92" s="167">
        <v>20.09</v>
      </c>
      <c r="G92" s="169">
        <f t="shared" si="4"/>
        <v>924.14</v>
      </c>
      <c r="H92" s="161">
        <f t="shared" si="3"/>
        <v>4.2716791449135043E-4</v>
      </c>
    </row>
    <row r="93" spans="1:8" ht="25.5" x14ac:dyDescent="0.25">
      <c r="A93" s="160" t="s">
        <v>750</v>
      </c>
      <c r="B93" s="171" t="s">
        <v>124</v>
      </c>
      <c r="C93" s="163" t="s">
        <v>460</v>
      </c>
      <c r="D93" s="160" t="s">
        <v>225</v>
      </c>
      <c r="E93" s="164">
        <v>88</v>
      </c>
      <c r="F93" s="167">
        <v>9.7100000000000009</v>
      </c>
      <c r="G93" s="169">
        <f t="shared" si="4"/>
        <v>854.48</v>
      </c>
      <c r="H93" s="161">
        <f t="shared" si="3"/>
        <v>3.9496877050508486E-4</v>
      </c>
    </row>
    <row r="94" spans="1:8" x14ac:dyDescent="0.25">
      <c r="A94" s="401" t="s">
        <v>1023</v>
      </c>
      <c r="B94" s="401" t="s">
        <v>124</v>
      </c>
      <c r="C94" s="401" t="s">
        <v>1024</v>
      </c>
      <c r="D94" s="401" t="s">
        <v>22</v>
      </c>
      <c r="E94" s="405">
        <v>5</v>
      </c>
      <c r="F94" s="407">
        <v>151.19</v>
      </c>
      <c r="G94" s="169">
        <f t="shared" si="4"/>
        <v>755.95</v>
      </c>
      <c r="H94" s="161">
        <f t="shared" si="3"/>
        <v>3.4942496262442525E-4</v>
      </c>
    </row>
    <row r="95" spans="1:8" x14ac:dyDescent="0.25">
      <c r="A95" s="160" t="s">
        <v>1245</v>
      </c>
      <c r="B95" s="171" t="s">
        <v>124</v>
      </c>
      <c r="C95" s="163" t="s">
        <v>1246</v>
      </c>
      <c r="D95" s="160" t="s">
        <v>22</v>
      </c>
      <c r="E95" s="164">
        <v>4</v>
      </c>
      <c r="F95" s="167">
        <v>188.67</v>
      </c>
      <c r="G95" s="169">
        <f t="shared" si="4"/>
        <v>754.68</v>
      </c>
      <c r="H95" s="161">
        <f t="shared" si="3"/>
        <v>3.4883792683828457E-4</v>
      </c>
    </row>
    <row r="96" spans="1:8" ht="25.5" x14ac:dyDescent="0.25">
      <c r="A96" s="160" t="s">
        <v>731</v>
      </c>
      <c r="B96" s="160" t="s">
        <v>124</v>
      </c>
      <c r="C96" s="210" t="s">
        <v>726</v>
      </c>
      <c r="D96" s="203" t="s">
        <v>2</v>
      </c>
      <c r="E96" s="204">
        <v>1.5</v>
      </c>
      <c r="F96" s="206">
        <v>482.22</v>
      </c>
      <c r="G96" s="169">
        <f t="shared" si="4"/>
        <v>723.33</v>
      </c>
      <c r="H96" s="161">
        <f t="shared" si="3"/>
        <v>3.3434692534575771E-4</v>
      </c>
    </row>
    <row r="97" spans="1:8" x14ac:dyDescent="0.25">
      <c r="A97" s="160" t="s">
        <v>988</v>
      </c>
      <c r="B97" s="171" t="s">
        <v>874</v>
      </c>
      <c r="C97" s="163" t="s">
        <v>989</v>
      </c>
      <c r="D97" s="160" t="s">
        <v>824</v>
      </c>
      <c r="E97" s="164">
        <v>912</v>
      </c>
      <c r="F97" s="167">
        <v>0.77</v>
      </c>
      <c r="G97" s="169">
        <f t="shared" si="4"/>
        <v>702.24</v>
      </c>
      <c r="H97" s="161">
        <f t="shared" si="3"/>
        <v>3.2459843343260323E-4</v>
      </c>
    </row>
    <row r="98" spans="1:8" x14ac:dyDescent="0.25">
      <c r="A98" s="160" t="s">
        <v>977</v>
      </c>
      <c r="B98" s="171" t="s">
        <v>175</v>
      </c>
      <c r="C98" s="163" t="s">
        <v>978</v>
      </c>
      <c r="D98" s="160" t="s">
        <v>225</v>
      </c>
      <c r="E98" s="164">
        <v>790</v>
      </c>
      <c r="F98" s="167">
        <v>0.88</v>
      </c>
      <c r="G98" s="169">
        <f t="shared" si="4"/>
        <v>695.2</v>
      </c>
      <c r="H98" s="161">
        <f t="shared" si="3"/>
        <v>3.2134431379919365E-4</v>
      </c>
    </row>
    <row r="99" spans="1:8" x14ac:dyDescent="0.25">
      <c r="A99" s="160" t="s">
        <v>876</v>
      </c>
      <c r="B99" s="171" t="s">
        <v>874</v>
      </c>
      <c r="C99" s="163" t="s">
        <v>877</v>
      </c>
      <c r="D99" s="160" t="s">
        <v>225</v>
      </c>
      <c r="E99" s="164">
        <v>17</v>
      </c>
      <c r="F99" s="167">
        <v>40.909999999999997</v>
      </c>
      <c r="G99" s="169">
        <f t="shared" si="4"/>
        <v>695.46999999999991</v>
      </c>
      <c r="H99" s="161">
        <f t="shared" si="3"/>
        <v>3.214691166828613E-4</v>
      </c>
    </row>
    <row r="100" spans="1:8" ht="26.25" customHeight="1" x14ac:dyDescent="0.25">
      <c r="A100" s="160" t="s">
        <v>757</v>
      </c>
      <c r="B100" s="171" t="s">
        <v>124</v>
      </c>
      <c r="C100" s="163" t="s">
        <v>550</v>
      </c>
      <c r="D100" s="160" t="s">
        <v>243</v>
      </c>
      <c r="E100" s="164">
        <v>1</v>
      </c>
      <c r="F100" s="167">
        <v>679.59</v>
      </c>
      <c r="G100" s="169">
        <f t="shared" si="4"/>
        <v>679.59</v>
      </c>
      <c r="H100" s="161">
        <f t="shared" si="3"/>
        <v>3.1412885819159092E-4</v>
      </c>
    </row>
    <row r="101" spans="1:8" x14ac:dyDescent="0.25">
      <c r="A101" s="160" t="s">
        <v>894</v>
      </c>
      <c r="B101" s="171" t="s">
        <v>849</v>
      </c>
      <c r="C101" s="163" t="s">
        <v>895</v>
      </c>
      <c r="D101" s="160" t="s">
        <v>225</v>
      </c>
      <c r="E101" s="164">
        <v>4</v>
      </c>
      <c r="F101" s="167">
        <v>169.24</v>
      </c>
      <c r="G101" s="169">
        <f t="shared" si="4"/>
        <v>676.96</v>
      </c>
      <c r="H101" s="161">
        <f t="shared" si="3"/>
        <v>3.1291318565808711E-4</v>
      </c>
    </row>
    <row r="102" spans="1:8" x14ac:dyDescent="0.25">
      <c r="A102" s="160" t="s">
        <v>896</v>
      </c>
      <c r="B102" s="171" t="s">
        <v>849</v>
      </c>
      <c r="C102" s="163" t="s">
        <v>897</v>
      </c>
      <c r="D102" s="160" t="s">
        <v>225</v>
      </c>
      <c r="E102" s="164">
        <v>4</v>
      </c>
      <c r="F102" s="167">
        <v>169.24</v>
      </c>
      <c r="G102" s="169">
        <f t="shared" si="4"/>
        <v>676.96</v>
      </c>
      <c r="H102" s="161">
        <f t="shared" si="3"/>
        <v>3.1291318565808711E-4</v>
      </c>
    </row>
    <row r="103" spans="1:8" x14ac:dyDescent="0.25">
      <c r="A103" s="160" t="s">
        <v>764</v>
      </c>
      <c r="B103" s="160" t="s">
        <v>212</v>
      </c>
      <c r="C103" s="210" t="s">
        <v>765</v>
      </c>
      <c r="D103" s="203" t="s">
        <v>22</v>
      </c>
      <c r="E103" s="204">
        <v>5</v>
      </c>
      <c r="F103" s="167">
        <v>131.13999999999999</v>
      </c>
      <c r="G103" s="169">
        <f t="shared" si="4"/>
        <v>655.69999999999993</v>
      </c>
      <c r="H103" s="161">
        <f t="shared" si="3"/>
        <v>3.0308611415151218E-4</v>
      </c>
    </row>
    <row r="104" spans="1:8" x14ac:dyDescent="0.25">
      <c r="A104" s="160" t="s">
        <v>1007</v>
      </c>
      <c r="B104" s="171" t="s">
        <v>874</v>
      </c>
      <c r="C104" s="163" t="s">
        <v>1008</v>
      </c>
      <c r="D104" s="160" t="s">
        <v>824</v>
      </c>
      <c r="E104" s="164">
        <v>12</v>
      </c>
      <c r="F104" s="167">
        <v>51.32</v>
      </c>
      <c r="G104" s="169">
        <f t="shared" si="4"/>
        <v>615.84</v>
      </c>
      <c r="H104" s="161">
        <f t="shared" si="3"/>
        <v>2.846615106589405E-4</v>
      </c>
    </row>
    <row r="105" spans="1:8" x14ac:dyDescent="0.25">
      <c r="A105" s="160" t="s">
        <v>841</v>
      </c>
      <c r="B105" s="171" t="s">
        <v>842</v>
      </c>
      <c r="C105" s="163" t="s">
        <v>843</v>
      </c>
      <c r="D105" s="160" t="s">
        <v>22</v>
      </c>
      <c r="E105" s="164">
        <v>29</v>
      </c>
      <c r="F105" s="167">
        <v>20.09</v>
      </c>
      <c r="G105" s="169">
        <f t="shared" si="4"/>
        <v>582.61</v>
      </c>
      <c r="H105" s="161">
        <f t="shared" si="3"/>
        <v>2.6930151130976439E-4</v>
      </c>
    </row>
    <row r="106" spans="1:8" ht="25.5" x14ac:dyDescent="0.25">
      <c r="A106" s="160" t="s">
        <v>1259</v>
      </c>
      <c r="B106" s="171" t="s">
        <v>264</v>
      </c>
      <c r="C106" s="163" t="s">
        <v>1260</v>
      </c>
      <c r="D106" s="160" t="s">
        <v>22</v>
      </c>
      <c r="E106" s="164">
        <v>4</v>
      </c>
      <c r="F106" s="167">
        <v>128.86000000000001</v>
      </c>
      <c r="G106" s="169">
        <f t="shared" si="4"/>
        <v>515.44000000000005</v>
      </c>
      <c r="H106" s="161">
        <f t="shared" si="3"/>
        <v>2.3825332725065649E-4</v>
      </c>
    </row>
    <row r="107" spans="1:8" ht="38.25" x14ac:dyDescent="0.25">
      <c r="A107" s="160">
        <v>93012</v>
      </c>
      <c r="B107" s="171" t="s">
        <v>31</v>
      </c>
      <c r="C107" s="163" t="s">
        <v>940</v>
      </c>
      <c r="D107" s="160" t="s">
        <v>35</v>
      </c>
      <c r="E107" s="164">
        <v>5.9</v>
      </c>
      <c r="F107" s="167">
        <v>80.989999999999995</v>
      </c>
      <c r="G107" s="169">
        <f t="shared" si="4"/>
        <v>477.84100000000001</v>
      </c>
      <c r="H107" s="161">
        <f t="shared" si="3"/>
        <v>2.2087383235057609E-4</v>
      </c>
    </row>
    <row r="108" spans="1:8" ht="25.5" x14ac:dyDescent="0.25">
      <c r="A108" s="160" t="s">
        <v>742</v>
      </c>
      <c r="B108" s="171" t="s">
        <v>31</v>
      </c>
      <c r="C108" s="163" t="s">
        <v>743</v>
      </c>
      <c r="D108" s="160" t="s">
        <v>22</v>
      </c>
      <c r="E108" s="164">
        <v>4</v>
      </c>
      <c r="F108" s="167">
        <v>119.34</v>
      </c>
      <c r="G108" s="169">
        <f t="shared" si="4"/>
        <v>477.36</v>
      </c>
      <c r="H108" s="161">
        <f t="shared" si="3"/>
        <v>2.2065149832448659E-4</v>
      </c>
    </row>
    <row r="109" spans="1:8" ht="25.5" x14ac:dyDescent="0.25">
      <c r="A109" s="160" t="s">
        <v>1239</v>
      </c>
      <c r="B109" s="171" t="s">
        <v>124</v>
      </c>
      <c r="C109" s="163" t="s">
        <v>1240</v>
      </c>
      <c r="D109" s="160" t="s">
        <v>22</v>
      </c>
      <c r="E109" s="164">
        <v>5</v>
      </c>
      <c r="F109" s="167">
        <v>93.68</v>
      </c>
      <c r="G109" s="169">
        <f t="shared" si="4"/>
        <v>468.40000000000003</v>
      </c>
      <c r="H109" s="161">
        <f t="shared" si="3"/>
        <v>2.1650989151832898E-4</v>
      </c>
    </row>
    <row r="110" spans="1:8" x14ac:dyDescent="0.25">
      <c r="A110" s="160" t="s">
        <v>871</v>
      </c>
      <c r="B110" s="171" t="s">
        <v>175</v>
      </c>
      <c r="C110" s="163" t="s">
        <v>872</v>
      </c>
      <c r="D110" s="160" t="s">
        <v>225</v>
      </c>
      <c r="E110" s="164">
        <v>62</v>
      </c>
      <c r="F110" s="167">
        <v>7.4</v>
      </c>
      <c r="G110" s="169">
        <f t="shared" si="4"/>
        <v>458.8</v>
      </c>
      <c r="H110" s="161">
        <f t="shared" si="3"/>
        <v>2.1207245565458868E-4</v>
      </c>
    </row>
    <row r="111" spans="1:8" ht="25.5" x14ac:dyDescent="0.25">
      <c r="A111" s="160" t="s">
        <v>751</v>
      </c>
      <c r="B111" s="171" t="s">
        <v>124</v>
      </c>
      <c r="C111" s="163" t="s">
        <v>480</v>
      </c>
      <c r="D111" s="160" t="s">
        <v>225</v>
      </c>
      <c r="E111" s="164">
        <v>452</v>
      </c>
      <c r="F111" s="167">
        <v>1.01</v>
      </c>
      <c r="G111" s="169">
        <f t="shared" si="4"/>
        <v>456.52</v>
      </c>
      <c r="H111" s="161">
        <f t="shared" si="3"/>
        <v>2.1101856463695033E-4</v>
      </c>
    </row>
    <row r="112" spans="1:8" x14ac:dyDescent="0.25">
      <c r="A112" s="160" t="s">
        <v>841</v>
      </c>
      <c r="B112" s="171" t="s">
        <v>842</v>
      </c>
      <c r="C112" s="163" t="s">
        <v>843</v>
      </c>
      <c r="D112" s="160" t="s">
        <v>22</v>
      </c>
      <c r="E112" s="164">
        <v>22</v>
      </c>
      <c r="F112" s="167">
        <v>20.09</v>
      </c>
      <c r="G112" s="169">
        <f t="shared" si="4"/>
        <v>441.98</v>
      </c>
      <c r="H112" s="161">
        <f t="shared" si="3"/>
        <v>2.0429769823499368E-4</v>
      </c>
    </row>
    <row r="113" spans="1:8" x14ac:dyDescent="0.25">
      <c r="A113" s="401" t="s">
        <v>1200</v>
      </c>
      <c r="B113" s="401" t="s">
        <v>842</v>
      </c>
      <c r="C113" s="401" t="s">
        <v>1201</v>
      </c>
      <c r="D113" s="401" t="s">
        <v>22</v>
      </c>
      <c r="E113" s="405">
        <v>2</v>
      </c>
      <c r="F113" s="407">
        <v>204.49</v>
      </c>
      <c r="G113" s="169">
        <f t="shared" si="4"/>
        <v>408.98</v>
      </c>
      <c r="H113" s="161">
        <f t="shared" si="3"/>
        <v>1.8904401245338639E-4</v>
      </c>
    </row>
    <row r="114" spans="1:8" ht="25.5" x14ac:dyDescent="0.25">
      <c r="A114" s="160" t="s">
        <v>747</v>
      </c>
      <c r="B114" s="171" t="s">
        <v>124</v>
      </c>
      <c r="C114" s="163" t="s">
        <v>443</v>
      </c>
      <c r="D114" s="160" t="s">
        <v>22</v>
      </c>
      <c r="E114" s="164">
        <v>36</v>
      </c>
      <c r="F114" s="167">
        <v>11.06</v>
      </c>
      <c r="G114" s="169">
        <f t="shared" si="4"/>
        <v>398.16</v>
      </c>
      <c r="H114" s="161">
        <f t="shared" si="3"/>
        <v>1.840426524486291E-4</v>
      </c>
    </row>
    <row r="115" spans="1:8" x14ac:dyDescent="0.25">
      <c r="A115" s="160" t="s">
        <v>970</v>
      </c>
      <c r="B115" s="171" t="s">
        <v>212</v>
      </c>
      <c r="C115" s="163" t="s">
        <v>971</v>
      </c>
      <c r="D115" s="160" t="s">
        <v>22</v>
      </c>
      <c r="E115" s="164">
        <v>7</v>
      </c>
      <c r="F115" s="167">
        <v>53.76</v>
      </c>
      <c r="G115" s="169">
        <f t="shared" si="4"/>
        <v>376.32</v>
      </c>
      <c r="H115" s="161">
        <f t="shared" si="3"/>
        <v>1.7394748585861989E-4</v>
      </c>
    </row>
    <row r="116" spans="1:8" ht="25.5" x14ac:dyDescent="0.25">
      <c r="A116" s="160" t="s">
        <v>746</v>
      </c>
      <c r="B116" s="171" t="s">
        <v>124</v>
      </c>
      <c r="C116" s="163" t="s">
        <v>440</v>
      </c>
      <c r="D116" s="160" t="s">
        <v>22</v>
      </c>
      <c r="E116" s="164">
        <v>13</v>
      </c>
      <c r="F116" s="167">
        <v>27.29</v>
      </c>
      <c r="G116" s="169">
        <f t="shared" si="4"/>
        <v>354.77</v>
      </c>
      <c r="H116" s="161">
        <f t="shared" si="3"/>
        <v>1.6398636681032785E-4</v>
      </c>
    </row>
    <row r="117" spans="1:8" x14ac:dyDescent="0.25">
      <c r="A117" s="160" t="s">
        <v>889</v>
      </c>
      <c r="B117" s="171" t="s">
        <v>849</v>
      </c>
      <c r="C117" s="163" t="s">
        <v>890</v>
      </c>
      <c r="D117" s="160" t="s">
        <v>225</v>
      </c>
      <c r="E117" s="164">
        <v>2</v>
      </c>
      <c r="F117" s="167">
        <v>169.24</v>
      </c>
      <c r="G117" s="169">
        <f t="shared" si="4"/>
        <v>338.48</v>
      </c>
      <c r="H117" s="161">
        <f t="shared" si="3"/>
        <v>1.5645659282904355E-4</v>
      </c>
    </row>
    <row r="118" spans="1:8" ht="25.5" x14ac:dyDescent="0.25">
      <c r="A118" s="160" t="s">
        <v>920</v>
      </c>
      <c r="B118" s="171" t="s">
        <v>124</v>
      </c>
      <c r="C118" s="163" t="s">
        <v>921</v>
      </c>
      <c r="D118" s="160" t="s">
        <v>225</v>
      </c>
      <c r="E118" s="164">
        <v>30</v>
      </c>
      <c r="F118" s="167">
        <v>10.8</v>
      </c>
      <c r="G118" s="169">
        <f t="shared" si="4"/>
        <v>324</v>
      </c>
      <c r="H118" s="161">
        <f t="shared" si="3"/>
        <v>1.4976346040123525E-4</v>
      </c>
    </row>
    <row r="119" spans="1:8" x14ac:dyDescent="0.25">
      <c r="A119" s="160" t="s">
        <v>964</v>
      </c>
      <c r="B119" s="171" t="s">
        <v>212</v>
      </c>
      <c r="C119" s="163" t="s">
        <v>965</v>
      </c>
      <c r="D119" s="160" t="s">
        <v>22</v>
      </c>
      <c r="E119" s="164">
        <v>4</v>
      </c>
      <c r="F119" s="167">
        <v>73.48</v>
      </c>
      <c r="G119" s="169">
        <f t="shared" si="4"/>
        <v>293.92</v>
      </c>
      <c r="H119" s="161">
        <f t="shared" si="3"/>
        <v>1.3585949469484897E-4</v>
      </c>
    </row>
    <row r="120" spans="1:8" ht="38.25" x14ac:dyDescent="0.25">
      <c r="A120" s="160">
        <v>97668</v>
      </c>
      <c r="B120" s="171" t="s">
        <v>31</v>
      </c>
      <c r="C120" s="163" t="s">
        <v>937</v>
      </c>
      <c r="D120" s="160" t="s">
        <v>35</v>
      </c>
      <c r="E120" s="164">
        <v>14.8</v>
      </c>
      <c r="F120" s="167">
        <v>18.059999999999999</v>
      </c>
      <c r="G120" s="169">
        <f t="shared" si="4"/>
        <v>267.28800000000001</v>
      </c>
      <c r="H120" s="161">
        <f t="shared" si="3"/>
        <v>1.2354930803618942E-4</v>
      </c>
    </row>
    <row r="121" spans="1:8" x14ac:dyDescent="0.25">
      <c r="A121" s="160" t="s">
        <v>1261</v>
      </c>
      <c r="B121" s="171" t="s">
        <v>124</v>
      </c>
      <c r="C121" s="163" t="s">
        <v>1262</v>
      </c>
      <c r="D121" s="160" t="s">
        <v>22</v>
      </c>
      <c r="E121" s="164">
        <v>15</v>
      </c>
      <c r="F121" s="167">
        <v>17.239999999999998</v>
      </c>
      <c r="G121" s="169">
        <f t="shared" si="4"/>
        <v>258.59999999999997</v>
      </c>
      <c r="H121" s="161">
        <f t="shared" si="3"/>
        <v>1.1953342857950441E-4</v>
      </c>
    </row>
    <row r="122" spans="1:8" ht="38.25" x14ac:dyDescent="0.25">
      <c r="A122" s="160" t="s">
        <v>865</v>
      </c>
      <c r="B122" s="171" t="s">
        <v>31</v>
      </c>
      <c r="C122" s="163" t="s">
        <v>866</v>
      </c>
      <c r="D122" s="160" t="s">
        <v>22</v>
      </c>
      <c r="E122" s="164">
        <v>3</v>
      </c>
      <c r="F122" s="167">
        <v>77.37</v>
      </c>
      <c r="G122" s="169">
        <f t="shared" si="4"/>
        <v>232.11</v>
      </c>
      <c r="H122" s="161">
        <f t="shared" si="3"/>
        <v>1.0728887899299603E-4</v>
      </c>
    </row>
    <row r="123" spans="1:8" x14ac:dyDescent="0.25">
      <c r="A123" s="160" t="s">
        <v>891</v>
      </c>
      <c r="B123" s="171" t="s">
        <v>212</v>
      </c>
      <c r="C123" s="163" t="s">
        <v>892</v>
      </c>
      <c r="D123" s="160" t="s">
        <v>22</v>
      </c>
      <c r="E123" s="164">
        <v>2</v>
      </c>
      <c r="F123" s="167">
        <v>112.16</v>
      </c>
      <c r="G123" s="169">
        <f t="shared" si="4"/>
        <v>224.32</v>
      </c>
      <c r="H123" s="161">
        <f t="shared" si="3"/>
        <v>1.0368808468273176E-4</v>
      </c>
    </row>
    <row r="124" spans="1:8" x14ac:dyDescent="0.25">
      <c r="A124" s="401" t="s">
        <v>1206</v>
      </c>
      <c r="B124" s="401" t="s">
        <v>175</v>
      </c>
      <c r="C124" s="401" t="s">
        <v>1207</v>
      </c>
      <c r="D124" s="401" t="s">
        <v>225</v>
      </c>
      <c r="E124" s="405">
        <v>8</v>
      </c>
      <c r="F124" s="407">
        <v>27.25</v>
      </c>
      <c r="G124" s="169">
        <f t="shared" si="4"/>
        <v>218</v>
      </c>
      <c r="H124" s="161">
        <f t="shared" si="3"/>
        <v>1.0076677273910273E-4</v>
      </c>
    </row>
    <row r="125" spans="1:8" x14ac:dyDescent="0.25">
      <c r="A125" s="401" t="s">
        <v>1261</v>
      </c>
      <c r="B125" s="401" t="s">
        <v>124</v>
      </c>
      <c r="C125" s="401" t="s">
        <v>1262</v>
      </c>
      <c r="D125" s="401" t="s">
        <v>22</v>
      </c>
      <c r="E125" s="405">
        <v>11</v>
      </c>
      <c r="F125" s="407">
        <v>17.239999999999998</v>
      </c>
      <c r="G125" s="169">
        <f t="shared" si="4"/>
        <v>189.64</v>
      </c>
      <c r="H125" s="161">
        <f t="shared" si="3"/>
        <v>8.7657847624969906E-5</v>
      </c>
    </row>
    <row r="126" spans="1:8" ht="38.25" x14ac:dyDescent="0.25">
      <c r="A126" s="160" t="s">
        <v>744</v>
      </c>
      <c r="B126" s="171" t="s">
        <v>31</v>
      </c>
      <c r="C126" s="163" t="s">
        <v>745</v>
      </c>
      <c r="D126" s="160" t="s">
        <v>22</v>
      </c>
      <c r="E126" s="164">
        <v>2</v>
      </c>
      <c r="F126" s="167">
        <v>92.1</v>
      </c>
      <c r="G126" s="169">
        <f t="shared" si="4"/>
        <v>184.2</v>
      </c>
      <c r="H126" s="161">
        <f t="shared" si="3"/>
        <v>8.5143300635517072E-5</v>
      </c>
    </row>
    <row r="127" spans="1:8" x14ac:dyDescent="0.25">
      <c r="A127" s="160" t="s">
        <v>980</v>
      </c>
      <c r="B127" s="171" t="s">
        <v>124</v>
      </c>
      <c r="C127" s="163" t="s">
        <v>981</v>
      </c>
      <c r="D127" s="160" t="s">
        <v>824</v>
      </c>
      <c r="E127" s="164">
        <v>116</v>
      </c>
      <c r="F127" s="167">
        <v>1.56</v>
      </c>
      <c r="G127" s="169">
        <f t="shared" si="4"/>
        <v>180.96</v>
      </c>
      <c r="H127" s="161">
        <f t="shared" si="3"/>
        <v>8.3645666031504718E-5</v>
      </c>
    </row>
    <row r="128" spans="1:8" ht="25.5" x14ac:dyDescent="0.25">
      <c r="A128" s="160" t="s">
        <v>984</v>
      </c>
      <c r="B128" s="171" t="s">
        <v>124</v>
      </c>
      <c r="C128" s="163" t="s">
        <v>985</v>
      </c>
      <c r="D128" s="160" t="s">
        <v>22</v>
      </c>
      <c r="E128" s="164">
        <v>18</v>
      </c>
      <c r="F128" s="167">
        <v>9.9499999999999993</v>
      </c>
      <c r="G128" s="169">
        <f t="shared" si="4"/>
        <v>179.1</v>
      </c>
      <c r="H128" s="161">
        <f t="shared" ref="H128:H157" si="5">G128/$I$3</f>
        <v>8.2785912832905037E-5</v>
      </c>
    </row>
    <row r="129" spans="1:8" x14ac:dyDescent="0.25">
      <c r="A129" s="160" t="s">
        <v>1241</v>
      </c>
      <c r="B129" s="171" t="s">
        <v>124</v>
      </c>
      <c r="C129" s="163" t="s">
        <v>1242</v>
      </c>
      <c r="D129" s="160" t="s">
        <v>22</v>
      </c>
      <c r="E129" s="164">
        <v>2</v>
      </c>
      <c r="F129" s="167">
        <v>86.11</v>
      </c>
      <c r="G129" s="169">
        <f t="shared" si="4"/>
        <v>172.22</v>
      </c>
      <c r="H129" s="161">
        <f t="shared" si="5"/>
        <v>7.9605750463891152E-5</v>
      </c>
    </row>
    <row r="130" spans="1:8" x14ac:dyDescent="0.25">
      <c r="A130" s="160" t="s">
        <v>1210</v>
      </c>
      <c r="B130" s="171" t="s">
        <v>842</v>
      </c>
      <c r="C130" s="163" t="s">
        <v>1211</v>
      </c>
      <c r="D130" s="160" t="s">
        <v>22</v>
      </c>
      <c r="E130" s="164">
        <v>8</v>
      </c>
      <c r="F130" s="167">
        <v>21.46</v>
      </c>
      <c r="G130" s="169">
        <f t="shared" si="4"/>
        <v>171.68</v>
      </c>
      <c r="H130" s="161">
        <f t="shared" si="5"/>
        <v>7.9356144696555767E-5</v>
      </c>
    </row>
    <row r="131" spans="1:8" x14ac:dyDescent="0.25">
      <c r="A131" s="401" t="s">
        <v>1204</v>
      </c>
      <c r="B131" s="401" t="s">
        <v>124</v>
      </c>
      <c r="C131" s="401" t="s">
        <v>1205</v>
      </c>
      <c r="D131" s="401" t="s">
        <v>35</v>
      </c>
      <c r="E131" s="405">
        <v>3</v>
      </c>
      <c r="F131" s="407">
        <v>55.51</v>
      </c>
      <c r="G131" s="169">
        <f t="shared" si="4"/>
        <v>166.53</v>
      </c>
      <c r="H131" s="161">
        <f t="shared" si="5"/>
        <v>7.6975645248820074E-5</v>
      </c>
    </row>
    <row r="132" spans="1:8" x14ac:dyDescent="0.25">
      <c r="A132" s="160" t="s">
        <v>873</v>
      </c>
      <c r="B132" s="171" t="s">
        <v>874</v>
      </c>
      <c r="C132" s="163" t="s">
        <v>875</v>
      </c>
      <c r="D132" s="160" t="s">
        <v>824</v>
      </c>
      <c r="E132" s="164">
        <v>5</v>
      </c>
      <c r="F132" s="167">
        <v>31.57</v>
      </c>
      <c r="G132" s="169">
        <f t="shared" ref="G132:G157" si="6">F132*E132</f>
        <v>157.85</v>
      </c>
      <c r="H132" s="161">
        <f t="shared" si="5"/>
        <v>7.2963463655354886E-5</v>
      </c>
    </row>
    <row r="133" spans="1:8" x14ac:dyDescent="0.25">
      <c r="A133" s="160">
        <v>9527</v>
      </c>
      <c r="B133" s="171" t="s">
        <v>175</v>
      </c>
      <c r="C133" s="163" t="s">
        <v>1221</v>
      </c>
      <c r="D133" s="160" t="s">
        <v>851</v>
      </c>
      <c r="E133" s="164">
        <v>4</v>
      </c>
      <c r="F133" s="167">
        <v>38.700000000000003</v>
      </c>
      <c r="G133" s="169">
        <f t="shared" si="6"/>
        <v>154.80000000000001</v>
      </c>
      <c r="H133" s="161">
        <f t="shared" si="5"/>
        <v>7.1553653302812399E-5</v>
      </c>
    </row>
    <row r="134" spans="1:8" ht="25.5" x14ac:dyDescent="0.25">
      <c r="A134" s="160" t="s">
        <v>1249</v>
      </c>
      <c r="B134" s="171" t="s">
        <v>175</v>
      </c>
      <c r="C134" s="163" t="s">
        <v>1250</v>
      </c>
      <c r="D134" s="160" t="s">
        <v>225</v>
      </c>
      <c r="E134" s="164">
        <v>4</v>
      </c>
      <c r="F134" s="167">
        <v>38.47</v>
      </c>
      <c r="G134" s="169">
        <f t="shared" si="6"/>
        <v>153.88</v>
      </c>
      <c r="H134" s="161">
        <f t="shared" si="5"/>
        <v>7.1128399032537279E-5</v>
      </c>
    </row>
    <row r="135" spans="1:8" x14ac:dyDescent="0.25">
      <c r="A135" s="160" t="s">
        <v>1023</v>
      </c>
      <c r="B135" s="160" t="s">
        <v>124</v>
      </c>
      <c r="C135" s="210" t="s">
        <v>1024</v>
      </c>
      <c r="D135" s="203" t="s">
        <v>22</v>
      </c>
      <c r="E135" s="204">
        <v>1</v>
      </c>
      <c r="F135" s="167">
        <v>151.19</v>
      </c>
      <c r="G135" s="169">
        <f t="shared" si="6"/>
        <v>151.19</v>
      </c>
      <c r="H135" s="161">
        <f t="shared" si="5"/>
        <v>6.9884992524885044E-5</v>
      </c>
    </row>
    <row r="136" spans="1:8" x14ac:dyDescent="0.25">
      <c r="A136" s="160" t="s">
        <v>1009</v>
      </c>
      <c r="B136" s="160" t="s">
        <v>874</v>
      </c>
      <c r="C136" s="210" t="s">
        <v>1010</v>
      </c>
      <c r="D136" s="203" t="s">
        <v>824</v>
      </c>
      <c r="E136" s="204">
        <v>21</v>
      </c>
      <c r="F136" s="167">
        <v>7.18</v>
      </c>
      <c r="G136" s="169">
        <f t="shared" si="6"/>
        <v>150.78</v>
      </c>
      <c r="H136" s="161">
        <f t="shared" si="5"/>
        <v>6.9695477034871148E-5</v>
      </c>
    </row>
    <row r="137" spans="1:8" x14ac:dyDescent="0.25">
      <c r="A137" s="160" t="s">
        <v>1255</v>
      </c>
      <c r="B137" s="171" t="s">
        <v>264</v>
      </c>
      <c r="C137" s="163" t="s">
        <v>1256</v>
      </c>
      <c r="D137" s="160" t="s">
        <v>35</v>
      </c>
      <c r="E137" s="164">
        <v>0.5</v>
      </c>
      <c r="F137" s="167">
        <v>293.45999999999998</v>
      </c>
      <c r="G137" s="169">
        <f t="shared" si="6"/>
        <v>146.72999999999999</v>
      </c>
      <c r="H137" s="161">
        <f t="shared" si="5"/>
        <v>6.7823433779855695E-5</v>
      </c>
    </row>
    <row r="138" spans="1:8" x14ac:dyDescent="0.25">
      <c r="A138" s="160" t="s">
        <v>966</v>
      </c>
      <c r="B138" s="171" t="s">
        <v>212</v>
      </c>
      <c r="C138" s="163" t="s">
        <v>967</v>
      </c>
      <c r="D138" s="160" t="s">
        <v>22</v>
      </c>
      <c r="E138" s="164">
        <v>2</v>
      </c>
      <c r="F138" s="167">
        <v>68.09</v>
      </c>
      <c r="G138" s="169">
        <f t="shared" si="6"/>
        <v>136.18</v>
      </c>
      <c r="H138" s="161">
        <f t="shared" si="5"/>
        <v>6.2946876658766105E-5</v>
      </c>
    </row>
    <row r="139" spans="1:8" x14ac:dyDescent="0.25">
      <c r="A139" s="160" t="s">
        <v>764</v>
      </c>
      <c r="B139" s="160" t="s">
        <v>212</v>
      </c>
      <c r="C139" s="210" t="s">
        <v>765</v>
      </c>
      <c r="D139" s="203" t="s">
        <v>22</v>
      </c>
      <c r="E139" s="204">
        <v>1</v>
      </c>
      <c r="F139" s="167">
        <v>131.13999999999999</v>
      </c>
      <c r="G139" s="169">
        <f t="shared" si="6"/>
        <v>131.13999999999999</v>
      </c>
      <c r="H139" s="161">
        <f t="shared" si="5"/>
        <v>6.0617222830302434E-5</v>
      </c>
    </row>
    <row r="140" spans="1:8" x14ac:dyDescent="0.25">
      <c r="A140" s="160" t="s">
        <v>1210</v>
      </c>
      <c r="B140" s="171" t="s">
        <v>842</v>
      </c>
      <c r="C140" s="163" t="s">
        <v>1211</v>
      </c>
      <c r="D140" s="160" t="s">
        <v>22</v>
      </c>
      <c r="E140" s="164">
        <v>6</v>
      </c>
      <c r="F140" s="167">
        <v>21.46</v>
      </c>
      <c r="G140" s="169">
        <f t="shared" si="6"/>
        <v>128.76</v>
      </c>
      <c r="H140" s="161">
        <f t="shared" si="5"/>
        <v>5.9517108522416815E-5</v>
      </c>
    </row>
    <row r="141" spans="1:8" x14ac:dyDescent="0.25">
      <c r="A141" s="401" t="s">
        <v>1210</v>
      </c>
      <c r="B141" s="401" t="s">
        <v>842</v>
      </c>
      <c r="C141" s="401" t="s">
        <v>1211</v>
      </c>
      <c r="D141" s="401" t="s">
        <v>22</v>
      </c>
      <c r="E141" s="405">
        <v>6</v>
      </c>
      <c r="F141" s="407">
        <v>21.46</v>
      </c>
      <c r="G141" s="169">
        <f t="shared" si="6"/>
        <v>128.76</v>
      </c>
      <c r="H141" s="161">
        <f t="shared" si="5"/>
        <v>5.9517108522416815E-5</v>
      </c>
    </row>
    <row r="142" spans="1:8" ht="25.5" x14ac:dyDescent="0.25">
      <c r="A142" s="160" t="s">
        <v>1243</v>
      </c>
      <c r="B142" s="171" t="s">
        <v>175</v>
      </c>
      <c r="C142" s="163" t="s">
        <v>1244</v>
      </c>
      <c r="D142" s="160" t="s">
        <v>225</v>
      </c>
      <c r="E142" s="164">
        <v>2</v>
      </c>
      <c r="F142" s="167">
        <v>60.84</v>
      </c>
      <c r="G142" s="169">
        <f t="shared" si="6"/>
        <v>121.68</v>
      </c>
      <c r="H142" s="161">
        <f t="shared" si="5"/>
        <v>5.6244499572908349E-5</v>
      </c>
    </row>
    <row r="143" spans="1:8" x14ac:dyDescent="0.25">
      <c r="A143" s="160" t="s">
        <v>1247</v>
      </c>
      <c r="B143" s="171" t="s">
        <v>212</v>
      </c>
      <c r="C143" s="163" t="s">
        <v>1248</v>
      </c>
      <c r="D143" s="160" t="s">
        <v>22</v>
      </c>
      <c r="E143" s="164">
        <v>1</v>
      </c>
      <c r="F143" s="167">
        <v>116.45</v>
      </c>
      <c r="G143" s="169">
        <f t="shared" si="6"/>
        <v>116.45</v>
      </c>
      <c r="H143" s="161">
        <f t="shared" si="5"/>
        <v>5.3827021492974831E-5</v>
      </c>
    </row>
    <row r="144" spans="1:8" x14ac:dyDescent="0.25">
      <c r="A144" s="160" t="s">
        <v>1253</v>
      </c>
      <c r="B144" s="171" t="s">
        <v>212</v>
      </c>
      <c r="C144" s="163" t="s">
        <v>1254</v>
      </c>
      <c r="D144" s="160" t="s">
        <v>22</v>
      </c>
      <c r="E144" s="164">
        <v>2</v>
      </c>
      <c r="F144" s="167">
        <v>52.57</v>
      </c>
      <c r="G144" s="169">
        <f t="shared" si="6"/>
        <v>105.14</v>
      </c>
      <c r="H144" s="161">
        <f t="shared" si="5"/>
        <v>4.8599167366005779E-5</v>
      </c>
    </row>
    <row r="145" spans="1:8" ht="25.5" x14ac:dyDescent="0.25">
      <c r="A145" s="160" t="s">
        <v>747</v>
      </c>
      <c r="B145" s="160" t="s">
        <v>124</v>
      </c>
      <c r="C145" s="210" t="s">
        <v>443</v>
      </c>
      <c r="D145" s="203" t="s">
        <v>22</v>
      </c>
      <c r="E145" s="204">
        <v>9</v>
      </c>
      <c r="F145" s="167">
        <v>11.06</v>
      </c>
      <c r="G145" s="169">
        <f t="shared" si="6"/>
        <v>99.54</v>
      </c>
      <c r="H145" s="161">
        <f t="shared" si="5"/>
        <v>4.6010663112157274E-5</v>
      </c>
    </row>
    <row r="146" spans="1:8" x14ac:dyDescent="0.25">
      <c r="A146" s="160">
        <v>10448</v>
      </c>
      <c r="B146" s="171" t="s">
        <v>175</v>
      </c>
      <c r="C146" s="163" t="s">
        <v>939</v>
      </c>
      <c r="D146" s="160" t="s">
        <v>225</v>
      </c>
      <c r="E146" s="164">
        <v>6</v>
      </c>
      <c r="F146" s="167">
        <v>16.05</v>
      </c>
      <c r="G146" s="169">
        <f t="shared" si="6"/>
        <v>96.300000000000011</v>
      </c>
      <c r="H146" s="161">
        <f t="shared" si="5"/>
        <v>4.4513028508144927E-5</v>
      </c>
    </row>
    <row r="147" spans="1:8" x14ac:dyDescent="0.25">
      <c r="A147" s="402" t="s">
        <v>1005</v>
      </c>
      <c r="B147" s="403" t="s">
        <v>212</v>
      </c>
      <c r="C147" s="404" t="s">
        <v>1006</v>
      </c>
      <c r="D147" s="402" t="s">
        <v>22</v>
      </c>
      <c r="E147" s="406">
        <v>11</v>
      </c>
      <c r="F147" s="408">
        <v>8.44</v>
      </c>
      <c r="G147" s="169">
        <f t="shared" si="6"/>
        <v>92.839999999999989</v>
      </c>
      <c r="H147" s="161">
        <f t="shared" si="5"/>
        <v>4.2913702665588516E-5</v>
      </c>
    </row>
    <row r="148" spans="1:8" ht="25.5" x14ac:dyDescent="0.25">
      <c r="A148" s="402" t="s">
        <v>746</v>
      </c>
      <c r="B148" s="403" t="s">
        <v>124</v>
      </c>
      <c r="C148" s="404" t="s">
        <v>440</v>
      </c>
      <c r="D148" s="402" t="s">
        <v>22</v>
      </c>
      <c r="E148" s="406">
        <v>3</v>
      </c>
      <c r="F148" s="408">
        <v>27.29</v>
      </c>
      <c r="G148" s="169">
        <f t="shared" si="6"/>
        <v>81.87</v>
      </c>
      <c r="H148" s="161">
        <f t="shared" si="5"/>
        <v>3.7843007725460276E-5</v>
      </c>
    </row>
    <row r="149" spans="1:8" ht="25.5" x14ac:dyDescent="0.25">
      <c r="A149" s="402" t="s">
        <v>1249</v>
      </c>
      <c r="B149" s="403" t="s">
        <v>175</v>
      </c>
      <c r="C149" s="404" t="s">
        <v>1250</v>
      </c>
      <c r="D149" s="402" t="s">
        <v>225</v>
      </c>
      <c r="E149" s="406">
        <v>2</v>
      </c>
      <c r="F149" s="408">
        <v>38.47</v>
      </c>
      <c r="G149" s="169">
        <f t="shared" si="6"/>
        <v>76.94</v>
      </c>
      <c r="H149" s="161">
        <f t="shared" si="5"/>
        <v>3.5564199516268639E-5</v>
      </c>
    </row>
    <row r="150" spans="1:8" ht="38.25" x14ac:dyDescent="0.25">
      <c r="A150" s="402">
        <v>97667</v>
      </c>
      <c r="B150" s="403" t="s">
        <v>31</v>
      </c>
      <c r="C150" s="404" t="s">
        <v>936</v>
      </c>
      <c r="D150" s="402" t="s">
        <v>35</v>
      </c>
      <c r="E150" s="406">
        <v>6</v>
      </c>
      <c r="F150" s="408">
        <v>12.7</v>
      </c>
      <c r="G150" s="169">
        <f t="shared" si="6"/>
        <v>76.199999999999989</v>
      </c>
      <c r="H150" s="161">
        <f t="shared" si="5"/>
        <v>3.5222147168438652E-5</v>
      </c>
    </row>
    <row r="151" spans="1:8" x14ac:dyDescent="0.25">
      <c r="A151" s="402" t="s">
        <v>1251</v>
      </c>
      <c r="B151" s="403" t="s">
        <v>264</v>
      </c>
      <c r="C151" s="404" t="s">
        <v>1252</v>
      </c>
      <c r="D151" s="402" t="s">
        <v>35</v>
      </c>
      <c r="E151" s="406">
        <v>1</v>
      </c>
      <c r="F151" s="408">
        <v>59.43</v>
      </c>
      <c r="G151" s="169">
        <f t="shared" si="6"/>
        <v>59.43</v>
      </c>
      <c r="H151" s="161">
        <f t="shared" si="5"/>
        <v>2.7470501393967316E-5</v>
      </c>
    </row>
    <row r="152" spans="1:8" x14ac:dyDescent="0.25">
      <c r="A152" s="402">
        <v>68207</v>
      </c>
      <c r="B152" s="403" t="s">
        <v>212</v>
      </c>
      <c r="C152" s="404" t="s">
        <v>736</v>
      </c>
      <c r="D152" s="402" t="s">
        <v>35</v>
      </c>
      <c r="E152" s="406">
        <v>0.3</v>
      </c>
      <c r="F152" s="408">
        <v>167.32</v>
      </c>
      <c r="G152" s="169">
        <f t="shared" si="6"/>
        <v>50.195999999999998</v>
      </c>
      <c r="H152" s="161">
        <f t="shared" si="5"/>
        <v>2.3202242772532111E-5</v>
      </c>
    </row>
    <row r="153" spans="1:8" x14ac:dyDescent="0.25">
      <c r="A153" s="402">
        <v>9988</v>
      </c>
      <c r="B153" s="403" t="s">
        <v>175</v>
      </c>
      <c r="C153" s="404" t="s">
        <v>1222</v>
      </c>
      <c r="D153" s="402" t="s">
        <v>225</v>
      </c>
      <c r="E153" s="406">
        <v>3</v>
      </c>
      <c r="F153" s="408">
        <v>12.55</v>
      </c>
      <c r="G153" s="169">
        <f t="shared" si="6"/>
        <v>37.650000000000006</v>
      </c>
      <c r="H153" s="161">
        <f t="shared" si="5"/>
        <v>1.7403068778106504E-5</v>
      </c>
    </row>
    <row r="154" spans="1:8" x14ac:dyDescent="0.25">
      <c r="A154" s="402">
        <v>60525</v>
      </c>
      <c r="B154" s="403" t="s">
        <v>212</v>
      </c>
      <c r="C154" s="404" t="s">
        <v>305</v>
      </c>
      <c r="D154" s="402" t="s">
        <v>22</v>
      </c>
      <c r="E154" s="406">
        <v>1</v>
      </c>
      <c r="F154" s="408">
        <v>37.159999999999997</v>
      </c>
      <c r="G154" s="169">
        <f t="shared" si="6"/>
        <v>37.159999999999997</v>
      </c>
      <c r="H154" s="161">
        <f t="shared" si="5"/>
        <v>1.7176574655894755E-5</v>
      </c>
    </row>
    <row r="155" spans="1:8" x14ac:dyDescent="0.25">
      <c r="A155" s="402" t="s">
        <v>1210</v>
      </c>
      <c r="B155" s="403" t="s">
        <v>842</v>
      </c>
      <c r="C155" s="404" t="s">
        <v>1211</v>
      </c>
      <c r="D155" s="402" t="s">
        <v>22</v>
      </c>
      <c r="E155" s="406">
        <v>1</v>
      </c>
      <c r="F155" s="408">
        <v>21.46</v>
      </c>
      <c r="G155" s="169">
        <f t="shared" si="6"/>
        <v>21.46</v>
      </c>
      <c r="H155" s="161">
        <f t="shared" si="5"/>
        <v>9.9195180870694708E-6</v>
      </c>
    </row>
    <row r="156" spans="1:8" x14ac:dyDescent="0.25">
      <c r="A156" s="402">
        <v>11819</v>
      </c>
      <c r="B156" s="403" t="s">
        <v>175</v>
      </c>
      <c r="C156" s="404" t="s">
        <v>942</v>
      </c>
      <c r="D156" s="402" t="s">
        <v>225</v>
      </c>
      <c r="E156" s="406">
        <v>1</v>
      </c>
      <c r="F156" s="408">
        <v>12.32</v>
      </c>
      <c r="G156" s="169">
        <f t="shared" si="6"/>
        <v>12.32</v>
      </c>
      <c r="H156" s="161">
        <f t="shared" si="5"/>
        <v>5.6947093584667229E-6</v>
      </c>
    </row>
    <row r="157" spans="1:8" ht="25.5" x14ac:dyDescent="0.25">
      <c r="A157" s="402" t="s">
        <v>747</v>
      </c>
      <c r="B157" s="403" t="s">
        <v>124</v>
      </c>
      <c r="C157" s="404" t="s">
        <v>443</v>
      </c>
      <c r="D157" s="402" t="s">
        <v>22</v>
      </c>
      <c r="E157" s="406">
        <v>1</v>
      </c>
      <c r="F157" s="408">
        <v>11.06</v>
      </c>
      <c r="G157" s="169">
        <f t="shared" si="6"/>
        <v>11.06</v>
      </c>
      <c r="H157" s="161">
        <f t="shared" si="5"/>
        <v>5.1122959013508084E-6</v>
      </c>
    </row>
    <row r="158" spans="1:8" x14ac:dyDescent="0.25">
      <c r="A158" s="402"/>
      <c r="B158" s="402"/>
      <c r="C158" s="218"/>
      <c r="D158" s="217"/>
      <c r="E158" s="219"/>
      <c r="F158" s="217"/>
      <c r="G158" s="217"/>
      <c r="H158" s="161" t="e">
        <f>G158/#REF!</f>
        <v>#REF!</v>
      </c>
    </row>
    <row r="159" spans="1:8" x14ac:dyDescent="0.25">
      <c r="A159" s="402"/>
      <c r="B159" s="403"/>
      <c r="C159" s="404"/>
      <c r="D159" s="402"/>
      <c r="E159" s="406"/>
      <c r="F159" s="408"/>
      <c r="G159" s="409"/>
      <c r="H159" s="161" t="e">
        <f>G159/#REF!</f>
        <v>#REF!</v>
      </c>
    </row>
    <row r="160" spans="1:8" x14ac:dyDescent="0.25">
      <c r="A160" s="402"/>
      <c r="B160" s="402"/>
      <c r="C160" s="218"/>
      <c r="D160" s="217"/>
      <c r="E160" s="219"/>
      <c r="F160" s="217"/>
      <c r="G160" s="217"/>
      <c r="H160" s="161" t="e">
        <f>G160/#REF!</f>
        <v>#REF!</v>
      </c>
    </row>
    <row r="161" spans="1:8" x14ac:dyDescent="0.25">
      <c r="A161" s="402"/>
      <c r="B161" s="403"/>
      <c r="C161" s="404"/>
      <c r="D161" s="402"/>
      <c r="E161" s="406"/>
      <c r="F161" s="408"/>
      <c r="G161" s="409"/>
      <c r="H161" s="161" t="e">
        <f>G161/#REF!</f>
        <v>#REF!</v>
      </c>
    </row>
    <row r="162" spans="1:8" x14ac:dyDescent="0.25">
      <c r="A162" s="402"/>
      <c r="B162" s="403"/>
      <c r="C162" s="404"/>
      <c r="D162" s="402"/>
      <c r="E162" s="406"/>
      <c r="F162" s="408"/>
      <c r="G162" s="409"/>
      <c r="H162" s="161" t="e">
        <f>G162/#REF!</f>
        <v>#REF!</v>
      </c>
    </row>
    <row r="163" spans="1:8" x14ac:dyDescent="0.25">
      <c r="A163" s="402"/>
      <c r="B163" s="403"/>
      <c r="C163" s="404"/>
      <c r="D163" s="402"/>
      <c r="E163" s="406"/>
      <c r="F163" s="408"/>
      <c r="G163" s="409"/>
      <c r="H163" s="161" t="e">
        <f>G163/#REF!</f>
        <v>#REF!</v>
      </c>
    </row>
    <row r="164" spans="1:8" x14ac:dyDescent="0.25">
      <c r="A164" s="402"/>
      <c r="B164" s="403"/>
      <c r="C164" s="404"/>
      <c r="D164" s="402"/>
      <c r="E164" s="406"/>
      <c r="F164" s="408"/>
      <c r="G164" s="409"/>
      <c r="H164" s="161" t="e">
        <f>G164/#REF!</f>
        <v>#REF!</v>
      </c>
    </row>
    <row r="165" spans="1:8" x14ac:dyDescent="0.25">
      <c r="A165" s="402"/>
      <c r="B165" s="403"/>
      <c r="C165" s="404"/>
      <c r="D165" s="402"/>
      <c r="E165" s="406"/>
      <c r="F165" s="408">
        <v>0</v>
      </c>
      <c r="G165" s="409">
        <v>0</v>
      </c>
      <c r="H165" s="161" t="e">
        <f>G165/#REF!</f>
        <v>#REF!</v>
      </c>
    </row>
    <row r="166" spans="1:8" x14ac:dyDescent="0.25">
      <c r="A166" s="402"/>
      <c r="B166" s="403"/>
      <c r="C166" s="404"/>
      <c r="D166" s="402"/>
      <c r="E166" s="406"/>
      <c r="F166" s="408">
        <v>0</v>
      </c>
      <c r="G166" s="409">
        <v>0</v>
      </c>
      <c r="H166" s="161" t="e">
        <f>G166/#REF!</f>
        <v>#REF!</v>
      </c>
    </row>
    <row r="167" spans="1:8" x14ac:dyDescent="0.25">
      <c r="A167" s="402"/>
      <c r="B167" s="403"/>
      <c r="C167" s="404"/>
      <c r="D167" s="402"/>
      <c r="E167" s="406"/>
      <c r="F167" s="408"/>
      <c r="G167" s="409"/>
      <c r="H167" s="161" t="e">
        <f>G167/#REF!</f>
        <v>#REF!</v>
      </c>
    </row>
    <row r="168" spans="1:8" x14ac:dyDescent="0.25">
      <c r="A168" s="402"/>
      <c r="B168" s="403"/>
      <c r="C168" s="404"/>
      <c r="D168" s="402"/>
      <c r="E168" s="406"/>
      <c r="F168" s="408">
        <v>0</v>
      </c>
      <c r="G168" s="409">
        <v>0</v>
      </c>
      <c r="H168" s="161" t="e">
        <f>G168/#REF!</f>
        <v>#REF!</v>
      </c>
    </row>
    <row r="169" spans="1:8" x14ac:dyDescent="0.25">
      <c r="A169" s="402"/>
      <c r="B169" s="403"/>
      <c r="C169" s="404"/>
      <c r="D169" s="402"/>
      <c r="E169" s="406"/>
      <c r="F169" s="408">
        <v>0</v>
      </c>
      <c r="G169" s="409">
        <v>0</v>
      </c>
      <c r="H169" s="161" t="e">
        <f>G169/#REF!</f>
        <v>#REF!</v>
      </c>
    </row>
    <row r="170" spans="1:8" x14ac:dyDescent="0.25">
      <c r="A170" s="402"/>
      <c r="B170" s="403"/>
      <c r="C170" s="404"/>
      <c r="D170" s="402"/>
      <c r="E170" s="406"/>
      <c r="F170" s="408"/>
      <c r="G170" s="409"/>
      <c r="H170" s="161" t="e">
        <f>G170/#REF!</f>
        <v>#REF!</v>
      </c>
    </row>
    <row r="171" spans="1:8" x14ac:dyDescent="0.25">
      <c r="A171" s="400"/>
      <c r="B171" s="400"/>
      <c r="C171" s="400"/>
      <c r="D171" s="400"/>
      <c r="E171" s="400"/>
      <c r="F171" s="400">
        <v>0</v>
      </c>
      <c r="G171" s="400">
        <v>0</v>
      </c>
      <c r="H171" s="161" t="e">
        <f>G171/#REF!</f>
        <v>#REF!</v>
      </c>
    </row>
    <row r="172" spans="1:8" x14ac:dyDescent="0.25">
      <c r="A172" s="400"/>
      <c r="B172" s="400"/>
      <c r="C172" s="400"/>
      <c r="D172" s="400"/>
      <c r="E172" s="400"/>
      <c r="F172" s="400">
        <v>0</v>
      </c>
      <c r="G172" s="400">
        <v>0</v>
      </c>
      <c r="H172" s="161" t="e">
        <f>G172/#REF!</f>
        <v>#REF!</v>
      </c>
    </row>
    <row r="173" spans="1:8" x14ac:dyDescent="0.25">
      <c r="A173" s="400"/>
      <c r="B173" s="400"/>
      <c r="C173" s="400"/>
      <c r="D173" s="400"/>
      <c r="E173" s="400"/>
      <c r="F173" s="400">
        <v>0</v>
      </c>
      <c r="G173" s="400">
        <v>0</v>
      </c>
      <c r="H173" s="161" t="e">
        <f>G173/#REF!</f>
        <v>#REF!</v>
      </c>
    </row>
  </sheetData>
  <autoFilter ref="A1:H173">
    <sortState ref="A4:H173">
      <sortCondition descending="1" ref="H1:H173"/>
    </sortState>
  </autoFilter>
  <mergeCells count="7">
    <mergeCell ref="G1:G2"/>
    <mergeCell ref="H1:H2"/>
    <mergeCell ref="A1:A2"/>
    <mergeCell ref="B1:B2"/>
    <mergeCell ref="C1:C2"/>
    <mergeCell ref="D1:D2"/>
    <mergeCell ref="E1:E2"/>
  </mergeCells>
  <pageMargins left="0.511811024" right="0.511811024" top="0.78740157499999996" bottom="0.78740157499999996" header="0.31496062000000002" footer="0.3149606200000000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6">
    <tabColor theme="6"/>
  </sheetPr>
  <dimension ref="A1:AU74"/>
  <sheetViews>
    <sheetView showGridLines="0" view="pageBreakPreview" zoomScaleNormal="100" zoomScaleSheetLayoutView="100" workbookViewId="0">
      <selection activeCell="G14" sqref="G14:Y14"/>
    </sheetView>
  </sheetViews>
  <sheetFormatPr defaultColWidth="3.5703125" defaultRowHeight="12.75" x14ac:dyDescent="0.25"/>
  <cols>
    <col min="1" max="1" width="1.5703125" style="262" customWidth="1"/>
    <col min="2" max="2" width="5.42578125" style="262" customWidth="1"/>
    <col min="3" max="3" width="2.5703125" style="262" customWidth="1"/>
    <col min="4" max="5" width="5.42578125" style="262" customWidth="1"/>
    <col min="6" max="6" width="10.42578125" style="262" customWidth="1"/>
    <col min="7" max="14" width="6.5703125" style="262" customWidth="1"/>
    <col min="15" max="15" width="4.42578125" style="262" customWidth="1"/>
    <col min="16" max="22" width="5.5703125" style="262" customWidth="1"/>
    <col min="23" max="24" width="4.42578125" style="262" customWidth="1"/>
    <col min="25" max="25" width="8.42578125" style="262" customWidth="1"/>
    <col min="26" max="26" width="1.5703125" style="295" customWidth="1"/>
    <col min="27" max="27" width="3.5703125" style="262" customWidth="1"/>
    <col min="28" max="28" width="19.42578125" style="265" customWidth="1"/>
    <col min="29" max="29" width="8.5703125" style="265" customWidth="1"/>
    <col min="30" max="31" width="9.140625" style="265" customWidth="1"/>
    <col min="32" max="32" width="3.5703125" style="265"/>
    <col min="33" max="33" width="10.85546875" style="265" hidden="1" customWidth="1"/>
    <col min="34" max="34" width="7" style="265" hidden="1" customWidth="1"/>
    <col min="35" max="36" width="3.5703125" style="265"/>
    <col min="37" max="41" width="3.5703125" style="262"/>
    <col min="42" max="42" width="5.5703125" style="262" bestFit="1" customWidth="1"/>
    <col min="43" max="44" width="3.5703125" style="262"/>
    <col min="45" max="45" width="6.5703125" style="262" bestFit="1" customWidth="1"/>
    <col min="46" max="46" width="3.5703125" style="262"/>
    <col min="47" max="47" width="5.5703125" style="262" bestFit="1" customWidth="1"/>
    <col min="48" max="259" width="3.5703125" style="262"/>
    <col min="260" max="260" width="11.42578125" style="262" customWidth="1"/>
    <col min="261" max="261" width="1.85546875" style="262" customWidth="1"/>
    <col min="262" max="265" width="5.42578125" style="262" customWidth="1"/>
    <col min="266" max="266" width="10.42578125" style="262" customWidth="1"/>
    <col min="267" max="267" width="7.85546875" style="262" customWidth="1"/>
    <col min="268" max="268" width="8.85546875" style="262" customWidth="1"/>
    <col min="269" max="269" width="8.42578125" style="262" customWidth="1"/>
    <col min="270" max="270" width="4.42578125" style="262" customWidth="1"/>
    <col min="271" max="272" width="4.140625" style="262" customWidth="1"/>
    <col min="273" max="273" width="6.85546875" style="262" customWidth="1"/>
    <col min="274" max="274" width="4.140625" style="262" customWidth="1"/>
    <col min="275" max="280" width="4.42578125" style="262" customWidth="1"/>
    <col min="281" max="281" width="7" style="262" customWidth="1"/>
    <col min="282" max="282" width="0" style="262" hidden="1" customWidth="1"/>
    <col min="283" max="286" width="3.5703125" style="262" customWidth="1"/>
    <col min="287" max="288" width="3.5703125" style="262"/>
    <col min="289" max="290" width="0" style="262" hidden="1" customWidth="1"/>
    <col min="291" max="297" width="3.5703125" style="262"/>
    <col min="298" max="298" width="5.5703125" style="262" bestFit="1" customWidth="1"/>
    <col min="299" max="300" width="3.5703125" style="262"/>
    <col min="301" max="301" width="6.5703125" style="262" bestFit="1" customWidth="1"/>
    <col min="302" max="302" width="3.5703125" style="262"/>
    <col min="303" max="303" width="5.5703125" style="262" bestFit="1" customWidth="1"/>
    <col min="304" max="515" width="3.5703125" style="262"/>
    <col min="516" max="516" width="11.42578125" style="262" customWidth="1"/>
    <col min="517" max="517" width="1.85546875" style="262" customWidth="1"/>
    <col min="518" max="521" width="5.42578125" style="262" customWidth="1"/>
    <col min="522" max="522" width="10.42578125" style="262" customWidth="1"/>
    <col min="523" max="523" width="7.85546875" style="262" customWidth="1"/>
    <col min="524" max="524" width="8.85546875" style="262" customWidth="1"/>
    <col min="525" max="525" width="8.42578125" style="262" customWidth="1"/>
    <col min="526" max="526" width="4.42578125" style="262" customWidth="1"/>
    <col min="527" max="528" width="4.140625" style="262" customWidth="1"/>
    <col min="529" max="529" width="6.85546875" style="262" customWidth="1"/>
    <col min="530" max="530" width="4.140625" style="262" customWidth="1"/>
    <col min="531" max="536" width="4.42578125" style="262" customWidth="1"/>
    <col min="537" max="537" width="7" style="262" customWidth="1"/>
    <col min="538" max="538" width="0" style="262" hidden="1" customWidth="1"/>
    <col min="539" max="542" width="3.5703125" style="262" customWidth="1"/>
    <col min="543" max="544" width="3.5703125" style="262"/>
    <col min="545" max="546" width="0" style="262" hidden="1" customWidth="1"/>
    <col min="547" max="553" width="3.5703125" style="262"/>
    <col min="554" max="554" width="5.5703125" style="262" bestFit="1" customWidth="1"/>
    <col min="555" max="556" width="3.5703125" style="262"/>
    <col min="557" max="557" width="6.5703125" style="262" bestFit="1" customWidth="1"/>
    <col min="558" max="558" width="3.5703125" style="262"/>
    <col min="559" max="559" width="5.5703125" style="262" bestFit="1" customWidth="1"/>
    <col min="560" max="771" width="3.5703125" style="262"/>
    <col min="772" max="772" width="11.42578125" style="262" customWidth="1"/>
    <col min="773" max="773" width="1.85546875" style="262" customWidth="1"/>
    <col min="774" max="777" width="5.42578125" style="262" customWidth="1"/>
    <col min="778" max="778" width="10.42578125" style="262" customWidth="1"/>
    <col min="779" max="779" width="7.85546875" style="262" customWidth="1"/>
    <col min="780" max="780" width="8.85546875" style="262" customWidth="1"/>
    <col min="781" max="781" width="8.42578125" style="262" customWidth="1"/>
    <col min="782" max="782" width="4.42578125" style="262" customWidth="1"/>
    <col min="783" max="784" width="4.140625" style="262" customWidth="1"/>
    <col min="785" max="785" width="6.85546875" style="262" customWidth="1"/>
    <col min="786" max="786" width="4.140625" style="262" customWidth="1"/>
    <col min="787" max="792" width="4.42578125" style="262" customWidth="1"/>
    <col min="793" max="793" width="7" style="262" customWidth="1"/>
    <col min="794" max="794" width="0" style="262" hidden="1" customWidth="1"/>
    <col min="795" max="798" width="3.5703125" style="262" customWidth="1"/>
    <col min="799" max="800" width="3.5703125" style="262"/>
    <col min="801" max="802" width="0" style="262" hidden="1" customWidth="1"/>
    <col min="803" max="809" width="3.5703125" style="262"/>
    <col min="810" max="810" width="5.5703125" style="262" bestFit="1" customWidth="1"/>
    <col min="811" max="812" width="3.5703125" style="262"/>
    <col min="813" max="813" width="6.5703125" style="262" bestFit="1" customWidth="1"/>
    <col min="814" max="814" width="3.5703125" style="262"/>
    <col min="815" max="815" width="5.5703125" style="262" bestFit="1" customWidth="1"/>
    <col min="816" max="1027" width="3.5703125" style="262"/>
    <col min="1028" max="1028" width="11.42578125" style="262" customWidth="1"/>
    <col min="1029" max="1029" width="1.85546875" style="262" customWidth="1"/>
    <col min="1030" max="1033" width="5.42578125" style="262" customWidth="1"/>
    <col min="1034" max="1034" width="10.42578125" style="262" customWidth="1"/>
    <col min="1035" max="1035" width="7.85546875" style="262" customWidth="1"/>
    <col min="1036" max="1036" width="8.85546875" style="262" customWidth="1"/>
    <col min="1037" max="1037" width="8.42578125" style="262" customWidth="1"/>
    <col min="1038" max="1038" width="4.42578125" style="262" customWidth="1"/>
    <col min="1039" max="1040" width="4.140625" style="262" customWidth="1"/>
    <col min="1041" max="1041" width="6.85546875" style="262" customWidth="1"/>
    <col min="1042" max="1042" width="4.140625" style="262" customWidth="1"/>
    <col min="1043" max="1048" width="4.42578125" style="262" customWidth="1"/>
    <col min="1049" max="1049" width="7" style="262" customWidth="1"/>
    <col min="1050" max="1050" width="0" style="262" hidden="1" customWidth="1"/>
    <col min="1051" max="1054" width="3.5703125" style="262" customWidth="1"/>
    <col min="1055" max="1056" width="3.5703125" style="262"/>
    <col min="1057" max="1058" width="0" style="262" hidden="1" customWidth="1"/>
    <col min="1059" max="1065" width="3.5703125" style="262"/>
    <col min="1066" max="1066" width="5.5703125" style="262" bestFit="1" customWidth="1"/>
    <col min="1067" max="1068" width="3.5703125" style="262"/>
    <col min="1069" max="1069" width="6.5703125" style="262" bestFit="1" customWidth="1"/>
    <col min="1070" max="1070" width="3.5703125" style="262"/>
    <col min="1071" max="1071" width="5.5703125" style="262" bestFit="1" customWidth="1"/>
    <col min="1072" max="1283" width="3.5703125" style="262"/>
    <col min="1284" max="1284" width="11.42578125" style="262" customWidth="1"/>
    <col min="1285" max="1285" width="1.85546875" style="262" customWidth="1"/>
    <col min="1286" max="1289" width="5.42578125" style="262" customWidth="1"/>
    <col min="1290" max="1290" width="10.42578125" style="262" customWidth="1"/>
    <col min="1291" max="1291" width="7.85546875" style="262" customWidth="1"/>
    <col min="1292" max="1292" width="8.85546875" style="262" customWidth="1"/>
    <col min="1293" max="1293" width="8.42578125" style="262" customWidth="1"/>
    <col min="1294" max="1294" width="4.42578125" style="262" customWidth="1"/>
    <col min="1295" max="1296" width="4.140625" style="262" customWidth="1"/>
    <col min="1297" max="1297" width="6.85546875" style="262" customWidth="1"/>
    <col min="1298" max="1298" width="4.140625" style="262" customWidth="1"/>
    <col min="1299" max="1304" width="4.42578125" style="262" customWidth="1"/>
    <col min="1305" max="1305" width="7" style="262" customWidth="1"/>
    <col min="1306" max="1306" width="0" style="262" hidden="1" customWidth="1"/>
    <col min="1307" max="1310" width="3.5703125" style="262" customWidth="1"/>
    <col min="1311" max="1312" width="3.5703125" style="262"/>
    <col min="1313" max="1314" width="0" style="262" hidden="1" customWidth="1"/>
    <col min="1315" max="1321" width="3.5703125" style="262"/>
    <col min="1322" max="1322" width="5.5703125" style="262" bestFit="1" customWidth="1"/>
    <col min="1323" max="1324" width="3.5703125" style="262"/>
    <col min="1325" max="1325" width="6.5703125" style="262" bestFit="1" customWidth="1"/>
    <col min="1326" max="1326" width="3.5703125" style="262"/>
    <col min="1327" max="1327" width="5.5703125" style="262" bestFit="1" customWidth="1"/>
    <col min="1328" max="1539" width="3.5703125" style="262"/>
    <col min="1540" max="1540" width="11.42578125" style="262" customWidth="1"/>
    <col min="1541" max="1541" width="1.85546875" style="262" customWidth="1"/>
    <col min="1542" max="1545" width="5.42578125" style="262" customWidth="1"/>
    <col min="1546" max="1546" width="10.42578125" style="262" customWidth="1"/>
    <col min="1547" max="1547" width="7.85546875" style="262" customWidth="1"/>
    <col min="1548" max="1548" width="8.85546875" style="262" customWidth="1"/>
    <col min="1549" max="1549" width="8.42578125" style="262" customWidth="1"/>
    <col min="1550" max="1550" width="4.42578125" style="262" customWidth="1"/>
    <col min="1551" max="1552" width="4.140625" style="262" customWidth="1"/>
    <col min="1553" max="1553" width="6.85546875" style="262" customWidth="1"/>
    <col min="1554" max="1554" width="4.140625" style="262" customWidth="1"/>
    <col min="1555" max="1560" width="4.42578125" style="262" customWidth="1"/>
    <col min="1561" max="1561" width="7" style="262" customWidth="1"/>
    <col min="1562" max="1562" width="0" style="262" hidden="1" customWidth="1"/>
    <col min="1563" max="1566" width="3.5703125" style="262" customWidth="1"/>
    <col min="1567" max="1568" width="3.5703125" style="262"/>
    <col min="1569" max="1570" width="0" style="262" hidden="1" customWidth="1"/>
    <col min="1571" max="1577" width="3.5703125" style="262"/>
    <col min="1578" max="1578" width="5.5703125" style="262" bestFit="1" customWidth="1"/>
    <col min="1579" max="1580" width="3.5703125" style="262"/>
    <col min="1581" max="1581" width="6.5703125" style="262" bestFit="1" customWidth="1"/>
    <col min="1582" max="1582" width="3.5703125" style="262"/>
    <col min="1583" max="1583" width="5.5703125" style="262" bestFit="1" customWidth="1"/>
    <col min="1584" max="1795" width="3.5703125" style="262"/>
    <col min="1796" max="1796" width="11.42578125" style="262" customWidth="1"/>
    <col min="1797" max="1797" width="1.85546875" style="262" customWidth="1"/>
    <col min="1798" max="1801" width="5.42578125" style="262" customWidth="1"/>
    <col min="1802" max="1802" width="10.42578125" style="262" customWidth="1"/>
    <col min="1803" max="1803" width="7.85546875" style="262" customWidth="1"/>
    <col min="1804" max="1804" width="8.85546875" style="262" customWidth="1"/>
    <col min="1805" max="1805" width="8.42578125" style="262" customWidth="1"/>
    <col min="1806" max="1806" width="4.42578125" style="262" customWidth="1"/>
    <col min="1807" max="1808" width="4.140625" style="262" customWidth="1"/>
    <col min="1809" max="1809" width="6.85546875" style="262" customWidth="1"/>
    <col min="1810" max="1810" width="4.140625" style="262" customWidth="1"/>
    <col min="1811" max="1816" width="4.42578125" style="262" customWidth="1"/>
    <col min="1817" max="1817" width="7" style="262" customWidth="1"/>
    <col min="1818" max="1818" width="0" style="262" hidden="1" customWidth="1"/>
    <col min="1819" max="1822" width="3.5703125" style="262" customWidth="1"/>
    <col min="1823" max="1824" width="3.5703125" style="262"/>
    <col min="1825" max="1826" width="0" style="262" hidden="1" customWidth="1"/>
    <col min="1827" max="1833" width="3.5703125" style="262"/>
    <col min="1834" max="1834" width="5.5703125" style="262" bestFit="1" customWidth="1"/>
    <col min="1835" max="1836" width="3.5703125" style="262"/>
    <col min="1837" max="1837" width="6.5703125" style="262" bestFit="1" customWidth="1"/>
    <col min="1838" max="1838" width="3.5703125" style="262"/>
    <col min="1839" max="1839" width="5.5703125" style="262" bestFit="1" customWidth="1"/>
    <col min="1840" max="2051" width="3.5703125" style="262"/>
    <col min="2052" max="2052" width="11.42578125" style="262" customWidth="1"/>
    <col min="2053" max="2053" width="1.85546875" style="262" customWidth="1"/>
    <col min="2054" max="2057" width="5.42578125" style="262" customWidth="1"/>
    <col min="2058" max="2058" width="10.42578125" style="262" customWidth="1"/>
    <col min="2059" max="2059" width="7.85546875" style="262" customWidth="1"/>
    <col min="2060" max="2060" width="8.85546875" style="262" customWidth="1"/>
    <col min="2061" max="2061" width="8.42578125" style="262" customWidth="1"/>
    <col min="2062" max="2062" width="4.42578125" style="262" customWidth="1"/>
    <col min="2063" max="2064" width="4.140625" style="262" customWidth="1"/>
    <col min="2065" max="2065" width="6.85546875" style="262" customWidth="1"/>
    <col min="2066" max="2066" width="4.140625" style="262" customWidth="1"/>
    <col min="2067" max="2072" width="4.42578125" style="262" customWidth="1"/>
    <col min="2073" max="2073" width="7" style="262" customWidth="1"/>
    <col min="2074" max="2074" width="0" style="262" hidden="1" customWidth="1"/>
    <col min="2075" max="2078" width="3.5703125" style="262" customWidth="1"/>
    <col min="2079" max="2080" width="3.5703125" style="262"/>
    <col min="2081" max="2082" width="0" style="262" hidden="1" customWidth="1"/>
    <col min="2083" max="2089" width="3.5703125" style="262"/>
    <col min="2090" max="2090" width="5.5703125" style="262" bestFit="1" customWidth="1"/>
    <col min="2091" max="2092" width="3.5703125" style="262"/>
    <col min="2093" max="2093" width="6.5703125" style="262" bestFit="1" customWidth="1"/>
    <col min="2094" max="2094" width="3.5703125" style="262"/>
    <col min="2095" max="2095" width="5.5703125" style="262" bestFit="1" customWidth="1"/>
    <col min="2096" max="2307" width="3.5703125" style="262"/>
    <col min="2308" max="2308" width="11.42578125" style="262" customWidth="1"/>
    <col min="2309" max="2309" width="1.85546875" style="262" customWidth="1"/>
    <col min="2310" max="2313" width="5.42578125" style="262" customWidth="1"/>
    <col min="2314" max="2314" width="10.42578125" style="262" customWidth="1"/>
    <col min="2315" max="2315" width="7.85546875" style="262" customWidth="1"/>
    <col min="2316" max="2316" width="8.85546875" style="262" customWidth="1"/>
    <col min="2317" max="2317" width="8.42578125" style="262" customWidth="1"/>
    <col min="2318" max="2318" width="4.42578125" style="262" customWidth="1"/>
    <col min="2319" max="2320" width="4.140625" style="262" customWidth="1"/>
    <col min="2321" max="2321" width="6.85546875" style="262" customWidth="1"/>
    <col min="2322" max="2322" width="4.140625" style="262" customWidth="1"/>
    <col min="2323" max="2328" width="4.42578125" style="262" customWidth="1"/>
    <col min="2329" max="2329" width="7" style="262" customWidth="1"/>
    <col min="2330" max="2330" width="0" style="262" hidden="1" customWidth="1"/>
    <col min="2331" max="2334" width="3.5703125" style="262" customWidth="1"/>
    <col min="2335" max="2336" width="3.5703125" style="262"/>
    <col min="2337" max="2338" width="0" style="262" hidden="1" customWidth="1"/>
    <col min="2339" max="2345" width="3.5703125" style="262"/>
    <col min="2346" max="2346" width="5.5703125" style="262" bestFit="1" customWidth="1"/>
    <col min="2347" max="2348" width="3.5703125" style="262"/>
    <col min="2349" max="2349" width="6.5703125" style="262" bestFit="1" customWidth="1"/>
    <col min="2350" max="2350" width="3.5703125" style="262"/>
    <col min="2351" max="2351" width="5.5703125" style="262" bestFit="1" customWidth="1"/>
    <col min="2352" max="2563" width="3.5703125" style="262"/>
    <col min="2564" max="2564" width="11.42578125" style="262" customWidth="1"/>
    <col min="2565" max="2565" width="1.85546875" style="262" customWidth="1"/>
    <col min="2566" max="2569" width="5.42578125" style="262" customWidth="1"/>
    <col min="2570" max="2570" width="10.42578125" style="262" customWidth="1"/>
    <col min="2571" max="2571" width="7.85546875" style="262" customWidth="1"/>
    <col min="2572" max="2572" width="8.85546875" style="262" customWidth="1"/>
    <col min="2573" max="2573" width="8.42578125" style="262" customWidth="1"/>
    <col min="2574" max="2574" width="4.42578125" style="262" customWidth="1"/>
    <col min="2575" max="2576" width="4.140625" style="262" customWidth="1"/>
    <col min="2577" max="2577" width="6.85546875" style="262" customWidth="1"/>
    <col min="2578" max="2578" width="4.140625" style="262" customWidth="1"/>
    <col min="2579" max="2584" width="4.42578125" style="262" customWidth="1"/>
    <col min="2585" max="2585" width="7" style="262" customWidth="1"/>
    <col min="2586" max="2586" width="0" style="262" hidden="1" customWidth="1"/>
    <col min="2587" max="2590" width="3.5703125" style="262" customWidth="1"/>
    <col min="2591" max="2592" width="3.5703125" style="262"/>
    <col min="2593" max="2594" width="0" style="262" hidden="1" customWidth="1"/>
    <col min="2595" max="2601" width="3.5703125" style="262"/>
    <col min="2602" max="2602" width="5.5703125" style="262" bestFit="1" customWidth="1"/>
    <col min="2603" max="2604" width="3.5703125" style="262"/>
    <col min="2605" max="2605" width="6.5703125" style="262" bestFit="1" customWidth="1"/>
    <col min="2606" max="2606" width="3.5703125" style="262"/>
    <col min="2607" max="2607" width="5.5703125" style="262" bestFit="1" customWidth="1"/>
    <col min="2608" max="2819" width="3.5703125" style="262"/>
    <col min="2820" max="2820" width="11.42578125" style="262" customWidth="1"/>
    <col min="2821" max="2821" width="1.85546875" style="262" customWidth="1"/>
    <col min="2822" max="2825" width="5.42578125" style="262" customWidth="1"/>
    <col min="2826" max="2826" width="10.42578125" style="262" customWidth="1"/>
    <col min="2827" max="2827" width="7.85546875" style="262" customWidth="1"/>
    <col min="2828" max="2828" width="8.85546875" style="262" customWidth="1"/>
    <col min="2829" max="2829" width="8.42578125" style="262" customWidth="1"/>
    <col min="2830" max="2830" width="4.42578125" style="262" customWidth="1"/>
    <col min="2831" max="2832" width="4.140625" style="262" customWidth="1"/>
    <col min="2833" max="2833" width="6.85546875" style="262" customWidth="1"/>
    <col min="2834" max="2834" width="4.140625" style="262" customWidth="1"/>
    <col min="2835" max="2840" width="4.42578125" style="262" customWidth="1"/>
    <col min="2841" max="2841" width="7" style="262" customWidth="1"/>
    <col min="2842" max="2842" width="0" style="262" hidden="1" customWidth="1"/>
    <col min="2843" max="2846" width="3.5703125" style="262" customWidth="1"/>
    <col min="2847" max="2848" width="3.5703125" style="262"/>
    <col min="2849" max="2850" width="0" style="262" hidden="1" customWidth="1"/>
    <col min="2851" max="2857" width="3.5703125" style="262"/>
    <col min="2858" max="2858" width="5.5703125" style="262" bestFit="1" customWidth="1"/>
    <col min="2859" max="2860" width="3.5703125" style="262"/>
    <col min="2861" max="2861" width="6.5703125" style="262" bestFit="1" customWidth="1"/>
    <col min="2862" max="2862" width="3.5703125" style="262"/>
    <col min="2863" max="2863" width="5.5703125" style="262" bestFit="1" customWidth="1"/>
    <col min="2864" max="3075" width="3.5703125" style="262"/>
    <col min="3076" max="3076" width="11.42578125" style="262" customWidth="1"/>
    <col min="3077" max="3077" width="1.85546875" style="262" customWidth="1"/>
    <col min="3078" max="3081" width="5.42578125" style="262" customWidth="1"/>
    <col min="3082" max="3082" width="10.42578125" style="262" customWidth="1"/>
    <col min="3083" max="3083" width="7.85546875" style="262" customWidth="1"/>
    <col min="3084" max="3084" width="8.85546875" style="262" customWidth="1"/>
    <col min="3085" max="3085" width="8.42578125" style="262" customWidth="1"/>
    <col min="3086" max="3086" width="4.42578125" style="262" customWidth="1"/>
    <col min="3087" max="3088" width="4.140625" style="262" customWidth="1"/>
    <col min="3089" max="3089" width="6.85546875" style="262" customWidth="1"/>
    <col min="3090" max="3090" width="4.140625" style="262" customWidth="1"/>
    <col min="3091" max="3096" width="4.42578125" style="262" customWidth="1"/>
    <col min="3097" max="3097" width="7" style="262" customWidth="1"/>
    <col min="3098" max="3098" width="0" style="262" hidden="1" customWidth="1"/>
    <col min="3099" max="3102" width="3.5703125" style="262" customWidth="1"/>
    <col min="3103" max="3104" width="3.5703125" style="262"/>
    <col min="3105" max="3106" width="0" style="262" hidden="1" customWidth="1"/>
    <col min="3107" max="3113" width="3.5703125" style="262"/>
    <col min="3114" max="3114" width="5.5703125" style="262" bestFit="1" customWidth="1"/>
    <col min="3115" max="3116" width="3.5703125" style="262"/>
    <col min="3117" max="3117" width="6.5703125" style="262" bestFit="1" customWidth="1"/>
    <col min="3118" max="3118" width="3.5703125" style="262"/>
    <col min="3119" max="3119" width="5.5703125" style="262" bestFit="1" customWidth="1"/>
    <col min="3120" max="3331" width="3.5703125" style="262"/>
    <col min="3332" max="3332" width="11.42578125" style="262" customWidth="1"/>
    <col min="3333" max="3333" width="1.85546875" style="262" customWidth="1"/>
    <col min="3334" max="3337" width="5.42578125" style="262" customWidth="1"/>
    <col min="3338" max="3338" width="10.42578125" style="262" customWidth="1"/>
    <col min="3339" max="3339" width="7.85546875" style="262" customWidth="1"/>
    <col min="3340" max="3340" width="8.85546875" style="262" customWidth="1"/>
    <col min="3341" max="3341" width="8.42578125" style="262" customWidth="1"/>
    <col min="3342" max="3342" width="4.42578125" style="262" customWidth="1"/>
    <col min="3343" max="3344" width="4.140625" style="262" customWidth="1"/>
    <col min="3345" max="3345" width="6.85546875" style="262" customWidth="1"/>
    <col min="3346" max="3346" width="4.140625" style="262" customWidth="1"/>
    <col min="3347" max="3352" width="4.42578125" style="262" customWidth="1"/>
    <col min="3353" max="3353" width="7" style="262" customWidth="1"/>
    <col min="3354" max="3354" width="0" style="262" hidden="1" customWidth="1"/>
    <col min="3355" max="3358" width="3.5703125" style="262" customWidth="1"/>
    <col min="3359" max="3360" width="3.5703125" style="262"/>
    <col min="3361" max="3362" width="0" style="262" hidden="1" customWidth="1"/>
    <col min="3363" max="3369" width="3.5703125" style="262"/>
    <col min="3370" max="3370" width="5.5703125" style="262" bestFit="1" customWidth="1"/>
    <col min="3371" max="3372" width="3.5703125" style="262"/>
    <col min="3373" max="3373" width="6.5703125" style="262" bestFit="1" customWidth="1"/>
    <col min="3374" max="3374" width="3.5703125" style="262"/>
    <col min="3375" max="3375" width="5.5703125" style="262" bestFit="1" customWidth="1"/>
    <col min="3376" max="3587" width="3.5703125" style="262"/>
    <col min="3588" max="3588" width="11.42578125" style="262" customWidth="1"/>
    <col min="3589" max="3589" width="1.85546875" style="262" customWidth="1"/>
    <col min="3590" max="3593" width="5.42578125" style="262" customWidth="1"/>
    <col min="3594" max="3594" width="10.42578125" style="262" customWidth="1"/>
    <col min="3595" max="3595" width="7.85546875" style="262" customWidth="1"/>
    <col min="3596" max="3596" width="8.85546875" style="262" customWidth="1"/>
    <col min="3597" max="3597" width="8.42578125" style="262" customWidth="1"/>
    <col min="3598" max="3598" width="4.42578125" style="262" customWidth="1"/>
    <col min="3599" max="3600" width="4.140625" style="262" customWidth="1"/>
    <col min="3601" max="3601" width="6.85546875" style="262" customWidth="1"/>
    <col min="3602" max="3602" width="4.140625" style="262" customWidth="1"/>
    <col min="3603" max="3608" width="4.42578125" style="262" customWidth="1"/>
    <col min="3609" max="3609" width="7" style="262" customWidth="1"/>
    <col min="3610" max="3610" width="0" style="262" hidden="1" customWidth="1"/>
    <col min="3611" max="3614" width="3.5703125" style="262" customWidth="1"/>
    <col min="3615" max="3616" width="3.5703125" style="262"/>
    <col min="3617" max="3618" width="0" style="262" hidden="1" customWidth="1"/>
    <col min="3619" max="3625" width="3.5703125" style="262"/>
    <col min="3626" max="3626" width="5.5703125" style="262" bestFit="1" customWidth="1"/>
    <col min="3627" max="3628" width="3.5703125" style="262"/>
    <col min="3629" max="3629" width="6.5703125" style="262" bestFit="1" customWidth="1"/>
    <col min="3630" max="3630" width="3.5703125" style="262"/>
    <col min="3631" max="3631" width="5.5703125" style="262" bestFit="1" customWidth="1"/>
    <col min="3632" max="3843" width="3.5703125" style="262"/>
    <col min="3844" max="3844" width="11.42578125" style="262" customWidth="1"/>
    <col min="3845" max="3845" width="1.85546875" style="262" customWidth="1"/>
    <col min="3846" max="3849" width="5.42578125" style="262" customWidth="1"/>
    <col min="3850" max="3850" width="10.42578125" style="262" customWidth="1"/>
    <col min="3851" max="3851" width="7.85546875" style="262" customWidth="1"/>
    <col min="3852" max="3852" width="8.85546875" style="262" customWidth="1"/>
    <col min="3853" max="3853" width="8.42578125" style="262" customWidth="1"/>
    <col min="3854" max="3854" width="4.42578125" style="262" customWidth="1"/>
    <col min="3855" max="3856" width="4.140625" style="262" customWidth="1"/>
    <col min="3857" max="3857" width="6.85546875" style="262" customWidth="1"/>
    <col min="3858" max="3858" width="4.140625" style="262" customWidth="1"/>
    <col min="3859" max="3864" width="4.42578125" style="262" customWidth="1"/>
    <col min="3865" max="3865" width="7" style="262" customWidth="1"/>
    <col min="3866" max="3866" width="0" style="262" hidden="1" customWidth="1"/>
    <col min="3867" max="3870" width="3.5703125" style="262" customWidth="1"/>
    <col min="3871" max="3872" width="3.5703125" style="262"/>
    <col min="3873" max="3874" width="0" style="262" hidden="1" customWidth="1"/>
    <col min="3875" max="3881" width="3.5703125" style="262"/>
    <col min="3882" max="3882" width="5.5703125" style="262" bestFit="1" customWidth="1"/>
    <col min="3883" max="3884" width="3.5703125" style="262"/>
    <col min="3885" max="3885" width="6.5703125" style="262" bestFit="1" customWidth="1"/>
    <col min="3886" max="3886" width="3.5703125" style="262"/>
    <col min="3887" max="3887" width="5.5703125" style="262" bestFit="1" customWidth="1"/>
    <col min="3888" max="4099" width="3.5703125" style="262"/>
    <col min="4100" max="4100" width="11.42578125" style="262" customWidth="1"/>
    <col min="4101" max="4101" width="1.85546875" style="262" customWidth="1"/>
    <col min="4102" max="4105" width="5.42578125" style="262" customWidth="1"/>
    <col min="4106" max="4106" width="10.42578125" style="262" customWidth="1"/>
    <col min="4107" max="4107" width="7.85546875" style="262" customWidth="1"/>
    <col min="4108" max="4108" width="8.85546875" style="262" customWidth="1"/>
    <col min="4109" max="4109" width="8.42578125" style="262" customWidth="1"/>
    <col min="4110" max="4110" width="4.42578125" style="262" customWidth="1"/>
    <col min="4111" max="4112" width="4.140625" style="262" customWidth="1"/>
    <col min="4113" max="4113" width="6.85546875" style="262" customWidth="1"/>
    <col min="4114" max="4114" width="4.140625" style="262" customWidth="1"/>
    <col min="4115" max="4120" width="4.42578125" style="262" customWidth="1"/>
    <col min="4121" max="4121" width="7" style="262" customWidth="1"/>
    <col min="4122" max="4122" width="0" style="262" hidden="1" customWidth="1"/>
    <col min="4123" max="4126" width="3.5703125" style="262" customWidth="1"/>
    <col min="4127" max="4128" width="3.5703125" style="262"/>
    <col min="4129" max="4130" width="0" style="262" hidden="1" customWidth="1"/>
    <col min="4131" max="4137" width="3.5703125" style="262"/>
    <col min="4138" max="4138" width="5.5703125" style="262" bestFit="1" customWidth="1"/>
    <col min="4139" max="4140" width="3.5703125" style="262"/>
    <col min="4141" max="4141" width="6.5703125" style="262" bestFit="1" customWidth="1"/>
    <col min="4142" max="4142" width="3.5703125" style="262"/>
    <col min="4143" max="4143" width="5.5703125" style="262" bestFit="1" customWidth="1"/>
    <col min="4144" max="4355" width="3.5703125" style="262"/>
    <col min="4356" max="4356" width="11.42578125" style="262" customWidth="1"/>
    <col min="4357" max="4357" width="1.85546875" style="262" customWidth="1"/>
    <col min="4358" max="4361" width="5.42578125" style="262" customWidth="1"/>
    <col min="4362" max="4362" width="10.42578125" style="262" customWidth="1"/>
    <col min="4363" max="4363" width="7.85546875" style="262" customWidth="1"/>
    <col min="4364" max="4364" width="8.85546875" style="262" customWidth="1"/>
    <col min="4365" max="4365" width="8.42578125" style="262" customWidth="1"/>
    <col min="4366" max="4366" width="4.42578125" style="262" customWidth="1"/>
    <col min="4367" max="4368" width="4.140625" style="262" customWidth="1"/>
    <col min="4369" max="4369" width="6.85546875" style="262" customWidth="1"/>
    <col min="4370" max="4370" width="4.140625" style="262" customWidth="1"/>
    <col min="4371" max="4376" width="4.42578125" style="262" customWidth="1"/>
    <col min="4377" max="4377" width="7" style="262" customWidth="1"/>
    <col min="4378" max="4378" width="0" style="262" hidden="1" customWidth="1"/>
    <col min="4379" max="4382" width="3.5703125" style="262" customWidth="1"/>
    <col min="4383" max="4384" width="3.5703125" style="262"/>
    <col min="4385" max="4386" width="0" style="262" hidden="1" customWidth="1"/>
    <col min="4387" max="4393" width="3.5703125" style="262"/>
    <col min="4394" max="4394" width="5.5703125" style="262" bestFit="1" customWidth="1"/>
    <col min="4395" max="4396" width="3.5703125" style="262"/>
    <col min="4397" max="4397" width="6.5703125" style="262" bestFit="1" customWidth="1"/>
    <col min="4398" max="4398" width="3.5703125" style="262"/>
    <col min="4399" max="4399" width="5.5703125" style="262" bestFit="1" customWidth="1"/>
    <col min="4400" max="4611" width="3.5703125" style="262"/>
    <col min="4612" max="4612" width="11.42578125" style="262" customWidth="1"/>
    <col min="4613" max="4613" width="1.85546875" style="262" customWidth="1"/>
    <col min="4614" max="4617" width="5.42578125" style="262" customWidth="1"/>
    <col min="4618" max="4618" width="10.42578125" style="262" customWidth="1"/>
    <col min="4619" max="4619" width="7.85546875" style="262" customWidth="1"/>
    <col min="4620" max="4620" width="8.85546875" style="262" customWidth="1"/>
    <col min="4621" max="4621" width="8.42578125" style="262" customWidth="1"/>
    <col min="4622" max="4622" width="4.42578125" style="262" customWidth="1"/>
    <col min="4623" max="4624" width="4.140625" style="262" customWidth="1"/>
    <col min="4625" max="4625" width="6.85546875" style="262" customWidth="1"/>
    <col min="4626" max="4626" width="4.140625" style="262" customWidth="1"/>
    <col min="4627" max="4632" width="4.42578125" style="262" customWidth="1"/>
    <col min="4633" max="4633" width="7" style="262" customWidth="1"/>
    <col min="4634" max="4634" width="0" style="262" hidden="1" customWidth="1"/>
    <col min="4635" max="4638" width="3.5703125" style="262" customWidth="1"/>
    <col min="4639" max="4640" width="3.5703125" style="262"/>
    <col min="4641" max="4642" width="0" style="262" hidden="1" customWidth="1"/>
    <col min="4643" max="4649" width="3.5703125" style="262"/>
    <col min="4650" max="4650" width="5.5703125" style="262" bestFit="1" customWidth="1"/>
    <col min="4651" max="4652" width="3.5703125" style="262"/>
    <col min="4653" max="4653" width="6.5703125" style="262" bestFit="1" customWidth="1"/>
    <col min="4654" max="4654" width="3.5703125" style="262"/>
    <col min="4655" max="4655" width="5.5703125" style="262" bestFit="1" customWidth="1"/>
    <col min="4656" max="4867" width="3.5703125" style="262"/>
    <col min="4868" max="4868" width="11.42578125" style="262" customWidth="1"/>
    <col min="4869" max="4869" width="1.85546875" style="262" customWidth="1"/>
    <col min="4870" max="4873" width="5.42578125" style="262" customWidth="1"/>
    <col min="4874" max="4874" width="10.42578125" style="262" customWidth="1"/>
    <col min="4875" max="4875" width="7.85546875" style="262" customWidth="1"/>
    <col min="4876" max="4876" width="8.85546875" style="262" customWidth="1"/>
    <col min="4877" max="4877" width="8.42578125" style="262" customWidth="1"/>
    <col min="4878" max="4878" width="4.42578125" style="262" customWidth="1"/>
    <col min="4879" max="4880" width="4.140625" style="262" customWidth="1"/>
    <col min="4881" max="4881" width="6.85546875" style="262" customWidth="1"/>
    <col min="4882" max="4882" width="4.140625" style="262" customWidth="1"/>
    <col min="4883" max="4888" width="4.42578125" style="262" customWidth="1"/>
    <col min="4889" max="4889" width="7" style="262" customWidth="1"/>
    <col min="4890" max="4890" width="0" style="262" hidden="1" customWidth="1"/>
    <col min="4891" max="4894" width="3.5703125" style="262" customWidth="1"/>
    <col min="4895" max="4896" width="3.5703125" style="262"/>
    <col min="4897" max="4898" width="0" style="262" hidden="1" customWidth="1"/>
    <col min="4899" max="4905" width="3.5703125" style="262"/>
    <col min="4906" max="4906" width="5.5703125" style="262" bestFit="1" customWidth="1"/>
    <col min="4907" max="4908" width="3.5703125" style="262"/>
    <col min="4909" max="4909" width="6.5703125" style="262" bestFit="1" customWidth="1"/>
    <col min="4910" max="4910" width="3.5703125" style="262"/>
    <col min="4911" max="4911" width="5.5703125" style="262" bestFit="1" customWidth="1"/>
    <col min="4912" max="5123" width="3.5703125" style="262"/>
    <col min="5124" max="5124" width="11.42578125" style="262" customWidth="1"/>
    <col min="5125" max="5125" width="1.85546875" style="262" customWidth="1"/>
    <col min="5126" max="5129" width="5.42578125" style="262" customWidth="1"/>
    <col min="5130" max="5130" width="10.42578125" style="262" customWidth="1"/>
    <col min="5131" max="5131" width="7.85546875" style="262" customWidth="1"/>
    <col min="5132" max="5132" width="8.85546875" style="262" customWidth="1"/>
    <col min="5133" max="5133" width="8.42578125" style="262" customWidth="1"/>
    <col min="5134" max="5134" width="4.42578125" style="262" customWidth="1"/>
    <col min="5135" max="5136" width="4.140625" style="262" customWidth="1"/>
    <col min="5137" max="5137" width="6.85546875" style="262" customWidth="1"/>
    <col min="5138" max="5138" width="4.140625" style="262" customWidth="1"/>
    <col min="5139" max="5144" width="4.42578125" style="262" customWidth="1"/>
    <col min="5145" max="5145" width="7" style="262" customWidth="1"/>
    <col min="5146" max="5146" width="0" style="262" hidden="1" customWidth="1"/>
    <col min="5147" max="5150" width="3.5703125" style="262" customWidth="1"/>
    <col min="5151" max="5152" width="3.5703125" style="262"/>
    <col min="5153" max="5154" width="0" style="262" hidden="1" customWidth="1"/>
    <col min="5155" max="5161" width="3.5703125" style="262"/>
    <col min="5162" max="5162" width="5.5703125" style="262" bestFit="1" customWidth="1"/>
    <col min="5163" max="5164" width="3.5703125" style="262"/>
    <col min="5165" max="5165" width="6.5703125" style="262" bestFit="1" customWidth="1"/>
    <col min="5166" max="5166" width="3.5703125" style="262"/>
    <col min="5167" max="5167" width="5.5703125" style="262" bestFit="1" customWidth="1"/>
    <col min="5168" max="5379" width="3.5703125" style="262"/>
    <col min="5380" max="5380" width="11.42578125" style="262" customWidth="1"/>
    <col min="5381" max="5381" width="1.85546875" style="262" customWidth="1"/>
    <col min="5382" max="5385" width="5.42578125" style="262" customWidth="1"/>
    <col min="5386" max="5386" width="10.42578125" style="262" customWidth="1"/>
    <col min="5387" max="5387" width="7.85546875" style="262" customWidth="1"/>
    <col min="5388" max="5388" width="8.85546875" style="262" customWidth="1"/>
    <col min="5389" max="5389" width="8.42578125" style="262" customWidth="1"/>
    <col min="5390" max="5390" width="4.42578125" style="262" customWidth="1"/>
    <col min="5391" max="5392" width="4.140625" style="262" customWidth="1"/>
    <col min="5393" max="5393" width="6.85546875" style="262" customWidth="1"/>
    <col min="5394" max="5394" width="4.140625" style="262" customWidth="1"/>
    <col min="5395" max="5400" width="4.42578125" style="262" customWidth="1"/>
    <col min="5401" max="5401" width="7" style="262" customWidth="1"/>
    <col min="5402" max="5402" width="0" style="262" hidden="1" customWidth="1"/>
    <col min="5403" max="5406" width="3.5703125" style="262" customWidth="1"/>
    <col min="5407" max="5408" width="3.5703125" style="262"/>
    <col min="5409" max="5410" width="0" style="262" hidden="1" customWidth="1"/>
    <col min="5411" max="5417" width="3.5703125" style="262"/>
    <col min="5418" max="5418" width="5.5703125" style="262" bestFit="1" customWidth="1"/>
    <col min="5419" max="5420" width="3.5703125" style="262"/>
    <col min="5421" max="5421" width="6.5703125" style="262" bestFit="1" customWidth="1"/>
    <col min="5422" max="5422" width="3.5703125" style="262"/>
    <col min="5423" max="5423" width="5.5703125" style="262" bestFit="1" customWidth="1"/>
    <col min="5424" max="5635" width="3.5703125" style="262"/>
    <col min="5636" max="5636" width="11.42578125" style="262" customWidth="1"/>
    <col min="5637" max="5637" width="1.85546875" style="262" customWidth="1"/>
    <col min="5638" max="5641" width="5.42578125" style="262" customWidth="1"/>
    <col min="5642" max="5642" width="10.42578125" style="262" customWidth="1"/>
    <col min="5643" max="5643" width="7.85546875" style="262" customWidth="1"/>
    <col min="5644" max="5644" width="8.85546875" style="262" customWidth="1"/>
    <col min="5645" max="5645" width="8.42578125" style="262" customWidth="1"/>
    <col min="5646" max="5646" width="4.42578125" style="262" customWidth="1"/>
    <col min="5647" max="5648" width="4.140625" style="262" customWidth="1"/>
    <col min="5649" max="5649" width="6.85546875" style="262" customWidth="1"/>
    <col min="5650" max="5650" width="4.140625" style="262" customWidth="1"/>
    <col min="5651" max="5656" width="4.42578125" style="262" customWidth="1"/>
    <col min="5657" max="5657" width="7" style="262" customWidth="1"/>
    <col min="5658" max="5658" width="0" style="262" hidden="1" customWidth="1"/>
    <col min="5659" max="5662" width="3.5703125" style="262" customWidth="1"/>
    <col min="5663" max="5664" width="3.5703125" style="262"/>
    <col min="5665" max="5666" width="0" style="262" hidden="1" customWidth="1"/>
    <col min="5667" max="5673" width="3.5703125" style="262"/>
    <col min="5674" max="5674" width="5.5703125" style="262" bestFit="1" customWidth="1"/>
    <col min="5675" max="5676" width="3.5703125" style="262"/>
    <col min="5677" max="5677" width="6.5703125" style="262" bestFit="1" customWidth="1"/>
    <col min="5678" max="5678" width="3.5703125" style="262"/>
    <col min="5679" max="5679" width="5.5703125" style="262" bestFit="1" customWidth="1"/>
    <col min="5680" max="5891" width="3.5703125" style="262"/>
    <col min="5892" max="5892" width="11.42578125" style="262" customWidth="1"/>
    <col min="5893" max="5893" width="1.85546875" style="262" customWidth="1"/>
    <col min="5894" max="5897" width="5.42578125" style="262" customWidth="1"/>
    <col min="5898" max="5898" width="10.42578125" style="262" customWidth="1"/>
    <col min="5899" max="5899" width="7.85546875" style="262" customWidth="1"/>
    <col min="5900" max="5900" width="8.85546875" style="262" customWidth="1"/>
    <col min="5901" max="5901" width="8.42578125" style="262" customWidth="1"/>
    <col min="5902" max="5902" width="4.42578125" style="262" customWidth="1"/>
    <col min="5903" max="5904" width="4.140625" style="262" customWidth="1"/>
    <col min="5905" max="5905" width="6.85546875" style="262" customWidth="1"/>
    <col min="5906" max="5906" width="4.140625" style="262" customWidth="1"/>
    <col min="5907" max="5912" width="4.42578125" style="262" customWidth="1"/>
    <col min="5913" max="5913" width="7" style="262" customWidth="1"/>
    <col min="5914" max="5914" width="0" style="262" hidden="1" customWidth="1"/>
    <col min="5915" max="5918" width="3.5703125" style="262" customWidth="1"/>
    <col min="5919" max="5920" width="3.5703125" style="262"/>
    <col min="5921" max="5922" width="0" style="262" hidden="1" customWidth="1"/>
    <col min="5923" max="5929" width="3.5703125" style="262"/>
    <col min="5930" max="5930" width="5.5703125" style="262" bestFit="1" customWidth="1"/>
    <col min="5931" max="5932" width="3.5703125" style="262"/>
    <col min="5933" max="5933" width="6.5703125" style="262" bestFit="1" customWidth="1"/>
    <col min="5934" max="5934" width="3.5703125" style="262"/>
    <col min="5935" max="5935" width="5.5703125" style="262" bestFit="1" customWidth="1"/>
    <col min="5936" max="6147" width="3.5703125" style="262"/>
    <col min="6148" max="6148" width="11.42578125" style="262" customWidth="1"/>
    <col min="6149" max="6149" width="1.85546875" style="262" customWidth="1"/>
    <col min="6150" max="6153" width="5.42578125" style="262" customWidth="1"/>
    <col min="6154" max="6154" width="10.42578125" style="262" customWidth="1"/>
    <col min="6155" max="6155" width="7.85546875" style="262" customWidth="1"/>
    <col min="6156" max="6156" width="8.85546875" style="262" customWidth="1"/>
    <col min="6157" max="6157" width="8.42578125" style="262" customWidth="1"/>
    <col min="6158" max="6158" width="4.42578125" style="262" customWidth="1"/>
    <col min="6159" max="6160" width="4.140625" style="262" customWidth="1"/>
    <col min="6161" max="6161" width="6.85546875" style="262" customWidth="1"/>
    <col min="6162" max="6162" width="4.140625" style="262" customWidth="1"/>
    <col min="6163" max="6168" width="4.42578125" style="262" customWidth="1"/>
    <col min="6169" max="6169" width="7" style="262" customWidth="1"/>
    <col min="6170" max="6170" width="0" style="262" hidden="1" customWidth="1"/>
    <col min="6171" max="6174" width="3.5703125" style="262" customWidth="1"/>
    <col min="6175" max="6176" width="3.5703125" style="262"/>
    <col min="6177" max="6178" width="0" style="262" hidden="1" customWidth="1"/>
    <col min="6179" max="6185" width="3.5703125" style="262"/>
    <col min="6186" max="6186" width="5.5703125" style="262" bestFit="1" customWidth="1"/>
    <col min="6187" max="6188" width="3.5703125" style="262"/>
    <col min="6189" max="6189" width="6.5703125" style="262" bestFit="1" customWidth="1"/>
    <col min="6190" max="6190" width="3.5703125" style="262"/>
    <col min="6191" max="6191" width="5.5703125" style="262" bestFit="1" customWidth="1"/>
    <col min="6192" max="6403" width="3.5703125" style="262"/>
    <col min="6404" max="6404" width="11.42578125" style="262" customWidth="1"/>
    <col min="6405" max="6405" width="1.85546875" style="262" customWidth="1"/>
    <col min="6406" max="6409" width="5.42578125" style="262" customWidth="1"/>
    <col min="6410" max="6410" width="10.42578125" style="262" customWidth="1"/>
    <col min="6411" max="6411" width="7.85546875" style="262" customWidth="1"/>
    <col min="6412" max="6412" width="8.85546875" style="262" customWidth="1"/>
    <col min="6413" max="6413" width="8.42578125" style="262" customWidth="1"/>
    <col min="6414" max="6414" width="4.42578125" style="262" customWidth="1"/>
    <col min="6415" max="6416" width="4.140625" style="262" customWidth="1"/>
    <col min="6417" max="6417" width="6.85546875" style="262" customWidth="1"/>
    <col min="6418" max="6418" width="4.140625" style="262" customWidth="1"/>
    <col min="6419" max="6424" width="4.42578125" style="262" customWidth="1"/>
    <col min="6425" max="6425" width="7" style="262" customWidth="1"/>
    <col min="6426" max="6426" width="0" style="262" hidden="1" customWidth="1"/>
    <col min="6427" max="6430" width="3.5703125" style="262" customWidth="1"/>
    <col min="6431" max="6432" width="3.5703125" style="262"/>
    <col min="6433" max="6434" width="0" style="262" hidden="1" customWidth="1"/>
    <col min="6435" max="6441" width="3.5703125" style="262"/>
    <col min="6442" max="6442" width="5.5703125" style="262" bestFit="1" customWidth="1"/>
    <col min="6443" max="6444" width="3.5703125" style="262"/>
    <col min="6445" max="6445" width="6.5703125" style="262" bestFit="1" customWidth="1"/>
    <col min="6446" max="6446" width="3.5703125" style="262"/>
    <col min="6447" max="6447" width="5.5703125" style="262" bestFit="1" customWidth="1"/>
    <col min="6448" max="6659" width="3.5703125" style="262"/>
    <col min="6660" max="6660" width="11.42578125" style="262" customWidth="1"/>
    <col min="6661" max="6661" width="1.85546875" style="262" customWidth="1"/>
    <col min="6662" max="6665" width="5.42578125" style="262" customWidth="1"/>
    <col min="6666" max="6666" width="10.42578125" style="262" customWidth="1"/>
    <col min="6667" max="6667" width="7.85546875" style="262" customWidth="1"/>
    <col min="6668" max="6668" width="8.85546875" style="262" customWidth="1"/>
    <col min="6669" max="6669" width="8.42578125" style="262" customWidth="1"/>
    <col min="6670" max="6670" width="4.42578125" style="262" customWidth="1"/>
    <col min="6671" max="6672" width="4.140625" style="262" customWidth="1"/>
    <col min="6673" max="6673" width="6.85546875" style="262" customWidth="1"/>
    <col min="6674" max="6674" width="4.140625" style="262" customWidth="1"/>
    <col min="6675" max="6680" width="4.42578125" style="262" customWidth="1"/>
    <col min="6681" max="6681" width="7" style="262" customWidth="1"/>
    <col min="6682" max="6682" width="0" style="262" hidden="1" customWidth="1"/>
    <col min="6683" max="6686" width="3.5703125" style="262" customWidth="1"/>
    <col min="6687" max="6688" width="3.5703125" style="262"/>
    <col min="6689" max="6690" width="0" style="262" hidden="1" customWidth="1"/>
    <col min="6691" max="6697" width="3.5703125" style="262"/>
    <col min="6698" max="6698" width="5.5703125" style="262" bestFit="1" customWidth="1"/>
    <col min="6699" max="6700" width="3.5703125" style="262"/>
    <col min="6701" max="6701" width="6.5703125" style="262" bestFit="1" customWidth="1"/>
    <col min="6702" max="6702" width="3.5703125" style="262"/>
    <col min="6703" max="6703" width="5.5703125" style="262" bestFit="1" customWidth="1"/>
    <col min="6704" max="6915" width="3.5703125" style="262"/>
    <col min="6916" max="6916" width="11.42578125" style="262" customWidth="1"/>
    <col min="6917" max="6917" width="1.85546875" style="262" customWidth="1"/>
    <col min="6918" max="6921" width="5.42578125" style="262" customWidth="1"/>
    <col min="6922" max="6922" width="10.42578125" style="262" customWidth="1"/>
    <col min="6923" max="6923" width="7.85546875" style="262" customWidth="1"/>
    <col min="6924" max="6924" width="8.85546875" style="262" customWidth="1"/>
    <col min="6925" max="6925" width="8.42578125" style="262" customWidth="1"/>
    <col min="6926" max="6926" width="4.42578125" style="262" customWidth="1"/>
    <col min="6927" max="6928" width="4.140625" style="262" customWidth="1"/>
    <col min="6929" max="6929" width="6.85546875" style="262" customWidth="1"/>
    <col min="6930" max="6930" width="4.140625" style="262" customWidth="1"/>
    <col min="6931" max="6936" width="4.42578125" style="262" customWidth="1"/>
    <col min="6937" max="6937" width="7" style="262" customWidth="1"/>
    <col min="6938" max="6938" width="0" style="262" hidden="1" customWidth="1"/>
    <col min="6939" max="6942" width="3.5703125" style="262" customWidth="1"/>
    <col min="6943" max="6944" width="3.5703125" style="262"/>
    <col min="6945" max="6946" width="0" style="262" hidden="1" customWidth="1"/>
    <col min="6947" max="6953" width="3.5703125" style="262"/>
    <col min="6954" max="6954" width="5.5703125" style="262" bestFit="1" customWidth="1"/>
    <col min="6955" max="6956" width="3.5703125" style="262"/>
    <col min="6957" max="6957" width="6.5703125" style="262" bestFit="1" customWidth="1"/>
    <col min="6958" max="6958" width="3.5703125" style="262"/>
    <col min="6959" max="6959" width="5.5703125" style="262" bestFit="1" customWidth="1"/>
    <col min="6960" max="7171" width="3.5703125" style="262"/>
    <col min="7172" max="7172" width="11.42578125" style="262" customWidth="1"/>
    <col min="7173" max="7173" width="1.85546875" style="262" customWidth="1"/>
    <col min="7174" max="7177" width="5.42578125" style="262" customWidth="1"/>
    <col min="7178" max="7178" width="10.42578125" style="262" customWidth="1"/>
    <col min="7179" max="7179" width="7.85546875" style="262" customWidth="1"/>
    <col min="7180" max="7180" width="8.85546875" style="262" customWidth="1"/>
    <col min="7181" max="7181" width="8.42578125" style="262" customWidth="1"/>
    <col min="7182" max="7182" width="4.42578125" style="262" customWidth="1"/>
    <col min="7183" max="7184" width="4.140625" style="262" customWidth="1"/>
    <col min="7185" max="7185" width="6.85546875" style="262" customWidth="1"/>
    <col min="7186" max="7186" width="4.140625" style="262" customWidth="1"/>
    <col min="7187" max="7192" width="4.42578125" style="262" customWidth="1"/>
    <col min="7193" max="7193" width="7" style="262" customWidth="1"/>
    <col min="7194" max="7194" width="0" style="262" hidden="1" customWidth="1"/>
    <col min="7195" max="7198" width="3.5703125" style="262" customWidth="1"/>
    <col min="7199" max="7200" width="3.5703125" style="262"/>
    <col min="7201" max="7202" width="0" style="262" hidden="1" customWidth="1"/>
    <col min="7203" max="7209" width="3.5703125" style="262"/>
    <col min="7210" max="7210" width="5.5703125" style="262" bestFit="1" customWidth="1"/>
    <col min="7211" max="7212" width="3.5703125" style="262"/>
    <col min="7213" max="7213" width="6.5703125" style="262" bestFit="1" customWidth="1"/>
    <col min="7214" max="7214" width="3.5703125" style="262"/>
    <col min="7215" max="7215" width="5.5703125" style="262" bestFit="1" customWidth="1"/>
    <col min="7216" max="7427" width="3.5703125" style="262"/>
    <col min="7428" max="7428" width="11.42578125" style="262" customWidth="1"/>
    <col min="7429" max="7429" width="1.85546875" style="262" customWidth="1"/>
    <col min="7430" max="7433" width="5.42578125" style="262" customWidth="1"/>
    <col min="7434" max="7434" width="10.42578125" style="262" customWidth="1"/>
    <col min="7435" max="7435" width="7.85546875" style="262" customWidth="1"/>
    <col min="7436" max="7436" width="8.85546875" style="262" customWidth="1"/>
    <col min="7437" max="7437" width="8.42578125" style="262" customWidth="1"/>
    <col min="7438" max="7438" width="4.42578125" style="262" customWidth="1"/>
    <col min="7439" max="7440" width="4.140625" style="262" customWidth="1"/>
    <col min="7441" max="7441" width="6.85546875" style="262" customWidth="1"/>
    <col min="7442" max="7442" width="4.140625" style="262" customWidth="1"/>
    <col min="7443" max="7448" width="4.42578125" style="262" customWidth="1"/>
    <col min="7449" max="7449" width="7" style="262" customWidth="1"/>
    <col min="7450" max="7450" width="0" style="262" hidden="1" customWidth="1"/>
    <col min="7451" max="7454" width="3.5703125" style="262" customWidth="1"/>
    <col min="7455" max="7456" width="3.5703125" style="262"/>
    <col min="7457" max="7458" width="0" style="262" hidden="1" customWidth="1"/>
    <col min="7459" max="7465" width="3.5703125" style="262"/>
    <col min="7466" max="7466" width="5.5703125" style="262" bestFit="1" customWidth="1"/>
    <col min="7467" max="7468" width="3.5703125" style="262"/>
    <col min="7469" max="7469" width="6.5703125" style="262" bestFit="1" customWidth="1"/>
    <col min="7470" max="7470" width="3.5703125" style="262"/>
    <col min="7471" max="7471" width="5.5703125" style="262" bestFit="1" customWidth="1"/>
    <col min="7472" max="7683" width="3.5703125" style="262"/>
    <col min="7684" max="7684" width="11.42578125" style="262" customWidth="1"/>
    <col min="7685" max="7685" width="1.85546875" style="262" customWidth="1"/>
    <col min="7686" max="7689" width="5.42578125" style="262" customWidth="1"/>
    <col min="7690" max="7690" width="10.42578125" style="262" customWidth="1"/>
    <col min="7691" max="7691" width="7.85546875" style="262" customWidth="1"/>
    <col min="7692" max="7692" width="8.85546875" style="262" customWidth="1"/>
    <col min="7693" max="7693" width="8.42578125" style="262" customWidth="1"/>
    <col min="7694" max="7694" width="4.42578125" style="262" customWidth="1"/>
    <col min="7695" max="7696" width="4.140625" style="262" customWidth="1"/>
    <col min="7697" max="7697" width="6.85546875" style="262" customWidth="1"/>
    <col min="7698" max="7698" width="4.140625" style="262" customWidth="1"/>
    <col min="7699" max="7704" width="4.42578125" style="262" customWidth="1"/>
    <col min="7705" max="7705" width="7" style="262" customWidth="1"/>
    <col min="7706" max="7706" width="0" style="262" hidden="1" customWidth="1"/>
    <col min="7707" max="7710" width="3.5703125" style="262" customWidth="1"/>
    <col min="7711" max="7712" width="3.5703125" style="262"/>
    <col min="7713" max="7714" width="0" style="262" hidden="1" customWidth="1"/>
    <col min="7715" max="7721" width="3.5703125" style="262"/>
    <col min="7722" max="7722" width="5.5703125" style="262" bestFit="1" customWidth="1"/>
    <col min="7723" max="7724" width="3.5703125" style="262"/>
    <col min="7725" max="7725" width="6.5703125" style="262" bestFit="1" customWidth="1"/>
    <col min="7726" max="7726" width="3.5703125" style="262"/>
    <col min="7727" max="7727" width="5.5703125" style="262" bestFit="1" customWidth="1"/>
    <col min="7728" max="7939" width="3.5703125" style="262"/>
    <col min="7940" max="7940" width="11.42578125" style="262" customWidth="1"/>
    <col min="7941" max="7941" width="1.85546875" style="262" customWidth="1"/>
    <col min="7942" max="7945" width="5.42578125" style="262" customWidth="1"/>
    <col min="7946" max="7946" width="10.42578125" style="262" customWidth="1"/>
    <col min="7947" max="7947" width="7.85546875" style="262" customWidth="1"/>
    <col min="7948" max="7948" width="8.85546875" style="262" customWidth="1"/>
    <col min="7949" max="7949" width="8.42578125" style="262" customWidth="1"/>
    <col min="7950" max="7950" width="4.42578125" style="262" customWidth="1"/>
    <col min="7951" max="7952" width="4.140625" style="262" customWidth="1"/>
    <col min="7953" max="7953" width="6.85546875" style="262" customWidth="1"/>
    <col min="7954" max="7954" width="4.140625" style="262" customWidth="1"/>
    <col min="7955" max="7960" width="4.42578125" style="262" customWidth="1"/>
    <col min="7961" max="7961" width="7" style="262" customWidth="1"/>
    <col min="7962" max="7962" width="0" style="262" hidden="1" customWidth="1"/>
    <col min="7963" max="7966" width="3.5703125" style="262" customWidth="1"/>
    <col min="7967" max="7968" width="3.5703125" style="262"/>
    <col min="7969" max="7970" width="0" style="262" hidden="1" customWidth="1"/>
    <col min="7971" max="7977" width="3.5703125" style="262"/>
    <col min="7978" max="7978" width="5.5703125" style="262" bestFit="1" customWidth="1"/>
    <col min="7979" max="7980" width="3.5703125" style="262"/>
    <col min="7981" max="7981" width="6.5703125" style="262" bestFit="1" customWidth="1"/>
    <col min="7982" max="7982" width="3.5703125" style="262"/>
    <col min="7983" max="7983" width="5.5703125" style="262" bestFit="1" customWidth="1"/>
    <col min="7984" max="8195" width="3.5703125" style="262"/>
    <col min="8196" max="8196" width="11.42578125" style="262" customWidth="1"/>
    <col min="8197" max="8197" width="1.85546875" style="262" customWidth="1"/>
    <col min="8198" max="8201" width="5.42578125" style="262" customWidth="1"/>
    <col min="8202" max="8202" width="10.42578125" style="262" customWidth="1"/>
    <col min="8203" max="8203" width="7.85546875" style="262" customWidth="1"/>
    <col min="8204" max="8204" width="8.85546875" style="262" customWidth="1"/>
    <col min="8205" max="8205" width="8.42578125" style="262" customWidth="1"/>
    <col min="8206" max="8206" width="4.42578125" style="262" customWidth="1"/>
    <col min="8207" max="8208" width="4.140625" style="262" customWidth="1"/>
    <col min="8209" max="8209" width="6.85546875" style="262" customWidth="1"/>
    <col min="8210" max="8210" width="4.140625" style="262" customWidth="1"/>
    <col min="8211" max="8216" width="4.42578125" style="262" customWidth="1"/>
    <col min="8217" max="8217" width="7" style="262" customWidth="1"/>
    <col min="8218" max="8218" width="0" style="262" hidden="1" customWidth="1"/>
    <col min="8219" max="8222" width="3.5703125" style="262" customWidth="1"/>
    <col min="8223" max="8224" width="3.5703125" style="262"/>
    <col min="8225" max="8226" width="0" style="262" hidden="1" customWidth="1"/>
    <col min="8227" max="8233" width="3.5703125" style="262"/>
    <col min="8234" max="8234" width="5.5703125" style="262" bestFit="1" customWidth="1"/>
    <col min="8235" max="8236" width="3.5703125" style="262"/>
    <col min="8237" max="8237" width="6.5703125" style="262" bestFit="1" customWidth="1"/>
    <col min="8238" max="8238" width="3.5703125" style="262"/>
    <col min="8239" max="8239" width="5.5703125" style="262" bestFit="1" customWidth="1"/>
    <col min="8240" max="8451" width="3.5703125" style="262"/>
    <col min="8452" max="8452" width="11.42578125" style="262" customWidth="1"/>
    <col min="8453" max="8453" width="1.85546875" style="262" customWidth="1"/>
    <col min="8454" max="8457" width="5.42578125" style="262" customWidth="1"/>
    <col min="8458" max="8458" width="10.42578125" style="262" customWidth="1"/>
    <col min="8459" max="8459" width="7.85546875" style="262" customWidth="1"/>
    <col min="8460" max="8460" width="8.85546875" style="262" customWidth="1"/>
    <col min="8461" max="8461" width="8.42578125" style="262" customWidth="1"/>
    <col min="8462" max="8462" width="4.42578125" style="262" customWidth="1"/>
    <col min="8463" max="8464" width="4.140625" style="262" customWidth="1"/>
    <col min="8465" max="8465" width="6.85546875" style="262" customWidth="1"/>
    <col min="8466" max="8466" width="4.140625" style="262" customWidth="1"/>
    <col min="8467" max="8472" width="4.42578125" style="262" customWidth="1"/>
    <col min="8473" max="8473" width="7" style="262" customWidth="1"/>
    <col min="8474" max="8474" width="0" style="262" hidden="1" customWidth="1"/>
    <col min="8475" max="8478" width="3.5703125" style="262" customWidth="1"/>
    <col min="8479" max="8480" width="3.5703125" style="262"/>
    <col min="8481" max="8482" width="0" style="262" hidden="1" customWidth="1"/>
    <col min="8483" max="8489" width="3.5703125" style="262"/>
    <col min="8490" max="8490" width="5.5703125" style="262" bestFit="1" customWidth="1"/>
    <col min="8491" max="8492" width="3.5703125" style="262"/>
    <col min="8493" max="8493" width="6.5703125" style="262" bestFit="1" customWidth="1"/>
    <col min="8494" max="8494" width="3.5703125" style="262"/>
    <col min="8495" max="8495" width="5.5703125" style="262" bestFit="1" customWidth="1"/>
    <col min="8496" max="8707" width="3.5703125" style="262"/>
    <col min="8708" max="8708" width="11.42578125" style="262" customWidth="1"/>
    <col min="8709" max="8709" width="1.85546875" style="262" customWidth="1"/>
    <col min="8710" max="8713" width="5.42578125" style="262" customWidth="1"/>
    <col min="8714" max="8714" width="10.42578125" style="262" customWidth="1"/>
    <col min="8715" max="8715" width="7.85546875" style="262" customWidth="1"/>
    <col min="8716" max="8716" width="8.85546875" style="262" customWidth="1"/>
    <col min="8717" max="8717" width="8.42578125" style="262" customWidth="1"/>
    <col min="8718" max="8718" width="4.42578125" style="262" customWidth="1"/>
    <col min="8719" max="8720" width="4.140625" style="262" customWidth="1"/>
    <col min="8721" max="8721" width="6.85546875" style="262" customWidth="1"/>
    <col min="8722" max="8722" width="4.140625" style="262" customWidth="1"/>
    <col min="8723" max="8728" width="4.42578125" style="262" customWidth="1"/>
    <col min="8729" max="8729" width="7" style="262" customWidth="1"/>
    <col min="8730" max="8730" width="0" style="262" hidden="1" customWidth="1"/>
    <col min="8731" max="8734" width="3.5703125" style="262" customWidth="1"/>
    <col min="8735" max="8736" width="3.5703125" style="262"/>
    <col min="8737" max="8738" width="0" style="262" hidden="1" customWidth="1"/>
    <col min="8739" max="8745" width="3.5703125" style="262"/>
    <col min="8746" max="8746" width="5.5703125" style="262" bestFit="1" customWidth="1"/>
    <col min="8747" max="8748" width="3.5703125" style="262"/>
    <col min="8749" max="8749" width="6.5703125" style="262" bestFit="1" customWidth="1"/>
    <col min="8750" max="8750" width="3.5703125" style="262"/>
    <col min="8751" max="8751" width="5.5703125" style="262" bestFit="1" customWidth="1"/>
    <col min="8752" max="8963" width="3.5703125" style="262"/>
    <col min="8964" max="8964" width="11.42578125" style="262" customWidth="1"/>
    <col min="8965" max="8965" width="1.85546875" style="262" customWidth="1"/>
    <col min="8966" max="8969" width="5.42578125" style="262" customWidth="1"/>
    <col min="8970" max="8970" width="10.42578125" style="262" customWidth="1"/>
    <col min="8971" max="8971" width="7.85546875" style="262" customWidth="1"/>
    <col min="8972" max="8972" width="8.85546875" style="262" customWidth="1"/>
    <col min="8973" max="8973" width="8.42578125" style="262" customWidth="1"/>
    <col min="8974" max="8974" width="4.42578125" style="262" customWidth="1"/>
    <col min="8975" max="8976" width="4.140625" style="262" customWidth="1"/>
    <col min="8977" max="8977" width="6.85546875" style="262" customWidth="1"/>
    <col min="8978" max="8978" width="4.140625" style="262" customWidth="1"/>
    <col min="8979" max="8984" width="4.42578125" style="262" customWidth="1"/>
    <col min="8985" max="8985" width="7" style="262" customWidth="1"/>
    <col min="8986" max="8986" width="0" style="262" hidden="1" customWidth="1"/>
    <col min="8987" max="8990" width="3.5703125" style="262" customWidth="1"/>
    <col min="8991" max="8992" width="3.5703125" style="262"/>
    <col min="8993" max="8994" width="0" style="262" hidden="1" customWidth="1"/>
    <col min="8995" max="9001" width="3.5703125" style="262"/>
    <col min="9002" max="9002" width="5.5703125" style="262" bestFit="1" customWidth="1"/>
    <col min="9003" max="9004" width="3.5703125" style="262"/>
    <col min="9005" max="9005" width="6.5703125" style="262" bestFit="1" customWidth="1"/>
    <col min="9006" max="9006" width="3.5703125" style="262"/>
    <col min="9007" max="9007" width="5.5703125" style="262" bestFit="1" customWidth="1"/>
    <col min="9008" max="9219" width="3.5703125" style="262"/>
    <col min="9220" max="9220" width="11.42578125" style="262" customWidth="1"/>
    <col min="9221" max="9221" width="1.85546875" style="262" customWidth="1"/>
    <col min="9222" max="9225" width="5.42578125" style="262" customWidth="1"/>
    <col min="9226" max="9226" width="10.42578125" style="262" customWidth="1"/>
    <col min="9227" max="9227" width="7.85546875" style="262" customWidth="1"/>
    <col min="9228" max="9228" width="8.85546875" style="262" customWidth="1"/>
    <col min="9229" max="9229" width="8.42578125" style="262" customWidth="1"/>
    <col min="9230" max="9230" width="4.42578125" style="262" customWidth="1"/>
    <col min="9231" max="9232" width="4.140625" style="262" customWidth="1"/>
    <col min="9233" max="9233" width="6.85546875" style="262" customWidth="1"/>
    <col min="9234" max="9234" width="4.140625" style="262" customWidth="1"/>
    <col min="9235" max="9240" width="4.42578125" style="262" customWidth="1"/>
    <col min="9241" max="9241" width="7" style="262" customWidth="1"/>
    <col min="9242" max="9242" width="0" style="262" hidden="1" customWidth="1"/>
    <col min="9243" max="9246" width="3.5703125" style="262" customWidth="1"/>
    <col min="9247" max="9248" width="3.5703125" style="262"/>
    <col min="9249" max="9250" width="0" style="262" hidden="1" customWidth="1"/>
    <col min="9251" max="9257" width="3.5703125" style="262"/>
    <col min="9258" max="9258" width="5.5703125" style="262" bestFit="1" customWidth="1"/>
    <col min="9259" max="9260" width="3.5703125" style="262"/>
    <col min="9261" max="9261" width="6.5703125" style="262" bestFit="1" customWidth="1"/>
    <col min="9262" max="9262" width="3.5703125" style="262"/>
    <col min="9263" max="9263" width="5.5703125" style="262" bestFit="1" customWidth="1"/>
    <col min="9264" max="9475" width="3.5703125" style="262"/>
    <col min="9476" max="9476" width="11.42578125" style="262" customWidth="1"/>
    <col min="9477" max="9477" width="1.85546875" style="262" customWidth="1"/>
    <col min="9478" max="9481" width="5.42578125" style="262" customWidth="1"/>
    <col min="9482" max="9482" width="10.42578125" style="262" customWidth="1"/>
    <col min="9483" max="9483" width="7.85546875" style="262" customWidth="1"/>
    <col min="9484" max="9484" width="8.85546875" style="262" customWidth="1"/>
    <col min="9485" max="9485" width="8.42578125" style="262" customWidth="1"/>
    <col min="9486" max="9486" width="4.42578125" style="262" customWidth="1"/>
    <col min="9487" max="9488" width="4.140625" style="262" customWidth="1"/>
    <col min="9489" max="9489" width="6.85546875" style="262" customWidth="1"/>
    <col min="9490" max="9490" width="4.140625" style="262" customWidth="1"/>
    <col min="9491" max="9496" width="4.42578125" style="262" customWidth="1"/>
    <col min="9497" max="9497" width="7" style="262" customWidth="1"/>
    <col min="9498" max="9498" width="0" style="262" hidden="1" customWidth="1"/>
    <col min="9499" max="9502" width="3.5703125" style="262" customWidth="1"/>
    <col min="9503" max="9504" width="3.5703125" style="262"/>
    <col min="9505" max="9506" width="0" style="262" hidden="1" customWidth="1"/>
    <col min="9507" max="9513" width="3.5703125" style="262"/>
    <col min="9514" max="9514" width="5.5703125" style="262" bestFit="1" customWidth="1"/>
    <col min="9515" max="9516" width="3.5703125" style="262"/>
    <col min="9517" max="9517" width="6.5703125" style="262" bestFit="1" customWidth="1"/>
    <col min="9518" max="9518" width="3.5703125" style="262"/>
    <col min="9519" max="9519" width="5.5703125" style="262" bestFit="1" customWidth="1"/>
    <col min="9520" max="9731" width="3.5703125" style="262"/>
    <col min="9732" max="9732" width="11.42578125" style="262" customWidth="1"/>
    <col min="9733" max="9733" width="1.85546875" style="262" customWidth="1"/>
    <col min="9734" max="9737" width="5.42578125" style="262" customWidth="1"/>
    <col min="9738" max="9738" width="10.42578125" style="262" customWidth="1"/>
    <col min="9739" max="9739" width="7.85546875" style="262" customWidth="1"/>
    <col min="9740" max="9740" width="8.85546875" style="262" customWidth="1"/>
    <col min="9741" max="9741" width="8.42578125" style="262" customWidth="1"/>
    <col min="9742" max="9742" width="4.42578125" style="262" customWidth="1"/>
    <col min="9743" max="9744" width="4.140625" style="262" customWidth="1"/>
    <col min="9745" max="9745" width="6.85546875" style="262" customWidth="1"/>
    <col min="9746" max="9746" width="4.140625" style="262" customWidth="1"/>
    <col min="9747" max="9752" width="4.42578125" style="262" customWidth="1"/>
    <col min="9753" max="9753" width="7" style="262" customWidth="1"/>
    <col min="9754" max="9754" width="0" style="262" hidden="1" customWidth="1"/>
    <col min="9755" max="9758" width="3.5703125" style="262" customWidth="1"/>
    <col min="9759" max="9760" width="3.5703125" style="262"/>
    <col min="9761" max="9762" width="0" style="262" hidden="1" customWidth="1"/>
    <col min="9763" max="9769" width="3.5703125" style="262"/>
    <col min="9770" max="9770" width="5.5703125" style="262" bestFit="1" customWidth="1"/>
    <col min="9771" max="9772" width="3.5703125" style="262"/>
    <col min="9773" max="9773" width="6.5703125" style="262" bestFit="1" customWidth="1"/>
    <col min="9774" max="9774" width="3.5703125" style="262"/>
    <col min="9775" max="9775" width="5.5703125" style="262" bestFit="1" customWidth="1"/>
    <col min="9776" max="9987" width="3.5703125" style="262"/>
    <col min="9988" max="9988" width="11.42578125" style="262" customWidth="1"/>
    <col min="9989" max="9989" width="1.85546875" style="262" customWidth="1"/>
    <col min="9990" max="9993" width="5.42578125" style="262" customWidth="1"/>
    <col min="9994" max="9994" width="10.42578125" style="262" customWidth="1"/>
    <col min="9995" max="9995" width="7.85546875" style="262" customWidth="1"/>
    <col min="9996" max="9996" width="8.85546875" style="262" customWidth="1"/>
    <col min="9997" max="9997" width="8.42578125" style="262" customWidth="1"/>
    <col min="9998" max="9998" width="4.42578125" style="262" customWidth="1"/>
    <col min="9999" max="10000" width="4.140625" style="262" customWidth="1"/>
    <col min="10001" max="10001" width="6.85546875" style="262" customWidth="1"/>
    <col min="10002" max="10002" width="4.140625" style="262" customWidth="1"/>
    <col min="10003" max="10008" width="4.42578125" style="262" customWidth="1"/>
    <col min="10009" max="10009" width="7" style="262" customWidth="1"/>
    <col min="10010" max="10010" width="0" style="262" hidden="1" customWidth="1"/>
    <col min="10011" max="10014" width="3.5703125" style="262" customWidth="1"/>
    <col min="10015" max="10016" width="3.5703125" style="262"/>
    <col min="10017" max="10018" width="0" style="262" hidden="1" customWidth="1"/>
    <col min="10019" max="10025" width="3.5703125" style="262"/>
    <col min="10026" max="10026" width="5.5703125" style="262" bestFit="1" customWidth="1"/>
    <col min="10027" max="10028" width="3.5703125" style="262"/>
    <col min="10029" max="10029" width="6.5703125" style="262" bestFit="1" customWidth="1"/>
    <col min="10030" max="10030" width="3.5703125" style="262"/>
    <col min="10031" max="10031" width="5.5703125" style="262" bestFit="1" customWidth="1"/>
    <col min="10032" max="10243" width="3.5703125" style="262"/>
    <col min="10244" max="10244" width="11.42578125" style="262" customWidth="1"/>
    <col min="10245" max="10245" width="1.85546875" style="262" customWidth="1"/>
    <col min="10246" max="10249" width="5.42578125" style="262" customWidth="1"/>
    <col min="10250" max="10250" width="10.42578125" style="262" customWidth="1"/>
    <col min="10251" max="10251" width="7.85546875" style="262" customWidth="1"/>
    <col min="10252" max="10252" width="8.85546875" style="262" customWidth="1"/>
    <col min="10253" max="10253" width="8.42578125" style="262" customWidth="1"/>
    <col min="10254" max="10254" width="4.42578125" style="262" customWidth="1"/>
    <col min="10255" max="10256" width="4.140625" style="262" customWidth="1"/>
    <col min="10257" max="10257" width="6.85546875" style="262" customWidth="1"/>
    <col min="10258" max="10258" width="4.140625" style="262" customWidth="1"/>
    <col min="10259" max="10264" width="4.42578125" style="262" customWidth="1"/>
    <col min="10265" max="10265" width="7" style="262" customWidth="1"/>
    <col min="10266" max="10266" width="0" style="262" hidden="1" customWidth="1"/>
    <col min="10267" max="10270" width="3.5703125" style="262" customWidth="1"/>
    <col min="10271" max="10272" width="3.5703125" style="262"/>
    <col min="10273" max="10274" width="0" style="262" hidden="1" customWidth="1"/>
    <col min="10275" max="10281" width="3.5703125" style="262"/>
    <col min="10282" max="10282" width="5.5703125" style="262" bestFit="1" customWidth="1"/>
    <col min="10283" max="10284" width="3.5703125" style="262"/>
    <col min="10285" max="10285" width="6.5703125" style="262" bestFit="1" customWidth="1"/>
    <col min="10286" max="10286" width="3.5703125" style="262"/>
    <col min="10287" max="10287" width="5.5703125" style="262" bestFit="1" customWidth="1"/>
    <col min="10288" max="10499" width="3.5703125" style="262"/>
    <col min="10500" max="10500" width="11.42578125" style="262" customWidth="1"/>
    <col min="10501" max="10501" width="1.85546875" style="262" customWidth="1"/>
    <col min="10502" max="10505" width="5.42578125" style="262" customWidth="1"/>
    <col min="10506" max="10506" width="10.42578125" style="262" customWidth="1"/>
    <col min="10507" max="10507" width="7.85546875" style="262" customWidth="1"/>
    <col min="10508" max="10508" width="8.85546875" style="262" customWidth="1"/>
    <col min="10509" max="10509" width="8.42578125" style="262" customWidth="1"/>
    <col min="10510" max="10510" width="4.42578125" style="262" customWidth="1"/>
    <col min="10511" max="10512" width="4.140625" style="262" customWidth="1"/>
    <col min="10513" max="10513" width="6.85546875" style="262" customWidth="1"/>
    <col min="10514" max="10514" width="4.140625" style="262" customWidth="1"/>
    <col min="10515" max="10520" width="4.42578125" style="262" customWidth="1"/>
    <col min="10521" max="10521" width="7" style="262" customWidth="1"/>
    <col min="10522" max="10522" width="0" style="262" hidden="1" customWidth="1"/>
    <col min="10523" max="10526" width="3.5703125" style="262" customWidth="1"/>
    <col min="10527" max="10528" width="3.5703125" style="262"/>
    <col min="10529" max="10530" width="0" style="262" hidden="1" customWidth="1"/>
    <col min="10531" max="10537" width="3.5703125" style="262"/>
    <col min="10538" max="10538" width="5.5703125" style="262" bestFit="1" customWidth="1"/>
    <col min="10539" max="10540" width="3.5703125" style="262"/>
    <col min="10541" max="10541" width="6.5703125" style="262" bestFit="1" customWidth="1"/>
    <col min="10542" max="10542" width="3.5703125" style="262"/>
    <col min="10543" max="10543" width="5.5703125" style="262" bestFit="1" customWidth="1"/>
    <col min="10544" max="10755" width="3.5703125" style="262"/>
    <col min="10756" max="10756" width="11.42578125" style="262" customWidth="1"/>
    <col min="10757" max="10757" width="1.85546875" style="262" customWidth="1"/>
    <col min="10758" max="10761" width="5.42578125" style="262" customWidth="1"/>
    <col min="10762" max="10762" width="10.42578125" style="262" customWidth="1"/>
    <col min="10763" max="10763" width="7.85546875" style="262" customWidth="1"/>
    <col min="10764" max="10764" width="8.85546875" style="262" customWidth="1"/>
    <col min="10765" max="10765" width="8.42578125" style="262" customWidth="1"/>
    <col min="10766" max="10766" width="4.42578125" style="262" customWidth="1"/>
    <col min="10767" max="10768" width="4.140625" style="262" customWidth="1"/>
    <col min="10769" max="10769" width="6.85546875" style="262" customWidth="1"/>
    <col min="10770" max="10770" width="4.140625" style="262" customWidth="1"/>
    <col min="10771" max="10776" width="4.42578125" style="262" customWidth="1"/>
    <col min="10777" max="10777" width="7" style="262" customWidth="1"/>
    <col min="10778" max="10778" width="0" style="262" hidden="1" customWidth="1"/>
    <col min="10779" max="10782" width="3.5703125" style="262" customWidth="1"/>
    <col min="10783" max="10784" width="3.5703125" style="262"/>
    <col min="10785" max="10786" width="0" style="262" hidden="1" customWidth="1"/>
    <col min="10787" max="10793" width="3.5703125" style="262"/>
    <col min="10794" max="10794" width="5.5703125" style="262" bestFit="1" customWidth="1"/>
    <col min="10795" max="10796" width="3.5703125" style="262"/>
    <col min="10797" max="10797" width="6.5703125" style="262" bestFit="1" customWidth="1"/>
    <col min="10798" max="10798" width="3.5703125" style="262"/>
    <col min="10799" max="10799" width="5.5703125" style="262" bestFit="1" customWidth="1"/>
    <col min="10800" max="11011" width="3.5703125" style="262"/>
    <col min="11012" max="11012" width="11.42578125" style="262" customWidth="1"/>
    <col min="11013" max="11013" width="1.85546875" style="262" customWidth="1"/>
    <col min="11014" max="11017" width="5.42578125" style="262" customWidth="1"/>
    <col min="11018" max="11018" width="10.42578125" style="262" customWidth="1"/>
    <col min="11019" max="11019" width="7.85546875" style="262" customWidth="1"/>
    <col min="11020" max="11020" width="8.85546875" style="262" customWidth="1"/>
    <col min="11021" max="11021" width="8.42578125" style="262" customWidth="1"/>
    <col min="11022" max="11022" width="4.42578125" style="262" customWidth="1"/>
    <col min="11023" max="11024" width="4.140625" style="262" customWidth="1"/>
    <col min="11025" max="11025" width="6.85546875" style="262" customWidth="1"/>
    <col min="11026" max="11026" width="4.140625" style="262" customWidth="1"/>
    <col min="11027" max="11032" width="4.42578125" style="262" customWidth="1"/>
    <col min="11033" max="11033" width="7" style="262" customWidth="1"/>
    <col min="11034" max="11034" width="0" style="262" hidden="1" customWidth="1"/>
    <col min="11035" max="11038" width="3.5703125" style="262" customWidth="1"/>
    <col min="11039" max="11040" width="3.5703125" style="262"/>
    <col min="11041" max="11042" width="0" style="262" hidden="1" customWidth="1"/>
    <col min="11043" max="11049" width="3.5703125" style="262"/>
    <col min="11050" max="11050" width="5.5703125" style="262" bestFit="1" customWidth="1"/>
    <col min="11051" max="11052" width="3.5703125" style="262"/>
    <col min="11053" max="11053" width="6.5703125" style="262" bestFit="1" customWidth="1"/>
    <col min="11054" max="11054" width="3.5703125" style="262"/>
    <col min="11055" max="11055" width="5.5703125" style="262" bestFit="1" customWidth="1"/>
    <col min="11056" max="11267" width="3.5703125" style="262"/>
    <col min="11268" max="11268" width="11.42578125" style="262" customWidth="1"/>
    <col min="11269" max="11269" width="1.85546875" style="262" customWidth="1"/>
    <col min="11270" max="11273" width="5.42578125" style="262" customWidth="1"/>
    <col min="11274" max="11274" width="10.42578125" style="262" customWidth="1"/>
    <col min="11275" max="11275" width="7.85546875" style="262" customWidth="1"/>
    <col min="11276" max="11276" width="8.85546875" style="262" customWidth="1"/>
    <col min="11277" max="11277" width="8.42578125" style="262" customWidth="1"/>
    <col min="11278" max="11278" width="4.42578125" style="262" customWidth="1"/>
    <col min="11279" max="11280" width="4.140625" style="262" customWidth="1"/>
    <col min="11281" max="11281" width="6.85546875" style="262" customWidth="1"/>
    <col min="11282" max="11282" width="4.140625" style="262" customWidth="1"/>
    <col min="11283" max="11288" width="4.42578125" style="262" customWidth="1"/>
    <col min="11289" max="11289" width="7" style="262" customWidth="1"/>
    <col min="11290" max="11290" width="0" style="262" hidden="1" customWidth="1"/>
    <col min="11291" max="11294" width="3.5703125" style="262" customWidth="1"/>
    <col min="11295" max="11296" width="3.5703125" style="262"/>
    <col min="11297" max="11298" width="0" style="262" hidden="1" customWidth="1"/>
    <col min="11299" max="11305" width="3.5703125" style="262"/>
    <col min="11306" max="11306" width="5.5703125" style="262" bestFit="1" customWidth="1"/>
    <col min="11307" max="11308" width="3.5703125" style="262"/>
    <col min="11309" max="11309" width="6.5703125" style="262" bestFit="1" customWidth="1"/>
    <col min="11310" max="11310" width="3.5703125" style="262"/>
    <col min="11311" max="11311" width="5.5703125" style="262" bestFit="1" customWidth="1"/>
    <col min="11312" max="11523" width="3.5703125" style="262"/>
    <col min="11524" max="11524" width="11.42578125" style="262" customWidth="1"/>
    <col min="11525" max="11525" width="1.85546875" style="262" customWidth="1"/>
    <col min="11526" max="11529" width="5.42578125" style="262" customWidth="1"/>
    <col min="11530" max="11530" width="10.42578125" style="262" customWidth="1"/>
    <col min="11531" max="11531" width="7.85546875" style="262" customWidth="1"/>
    <col min="11532" max="11532" width="8.85546875" style="262" customWidth="1"/>
    <col min="11533" max="11533" width="8.42578125" style="262" customWidth="1"/>
    <col min="11534" max="11534" width="4.42578125" style="262" customWidth="1"/>
    <col min="11535" max="11536" width="4.140625" style="262" customWidth="1"/>
    <col min="11537" max="11537" width="6.85546875" style="262" customWidth="1"/>
    <col min="11538" max="11538" width="4.140625" style="262" customWidth="1"/>
    <col min="11539" max="11544" width="4.42578125" style="262" customWidth="1"/>
    <col min="11545" max="11545" width="7" style="262" customWidth="1"/>
    <col min="11546" max="11546" width="0" style="262" hidden="1" customWidth="1"/>
    <col min="11547" max="11550" width="3.5703125" style="262" customWidth="1"/>
    <col min="11551" max="11552" width="3.5703125" style="262"/>
    <col min="11553" max="11554" width="0" style="262" hidden="1" customWidth="1"/>
    <col min="11555" max="11561" width="3.5703125" style="262"/>
    <col min="11562" max="11562" width="5.5703125" style="262" bestFit="1" customWidth="1"/>
    <col min="11563" max="11564" width="3.5703125" style="262"/>
    <col min="11565" max="11565" width="6.5703125" style="262" bestFit="1" customWidth="1"/>
    <col min="11566" max="11566" width="3.5703125" style="262"/>
    <col min="11567" max="11567" width="5.5703125" style="262" bestFit="1" customWidth="1"/>
    <col min="11568" max="11779" width="3.5703125" style="262"/>
    <col min="11780" max="11780" width="11.42578125" style="262" customWidth="1"/>
    <col min="11781" max="11781" width="1.85546875" style="262" customWidth="1"/>
    <col min="11782" max="11785" width="5.42578125" style="262" customWidth="1"/>
    <col min="11786" max="11786" width="10.42578125" style="262" customWidth="1"/>
    <col min="11787" max="11787" width="7.85546875" style="262" customWidth="1"/>
    <col min="11788" max="11788" width="8.85546875" style="262" customWidth="1"/>
    <col min="11789" max="11789" width="8.42578125" style="262" customWidth="1"/>
    <col min="11790" max="11790" width="4.42578125" style="262" customWidth="1"/>
    <col min="11791" max="11792" width="4.140625" style="262" customWidth="1"/>
    <col min="11793" max="11793" width="6.85546875" style="262" customWidth="1"/>
    <col min="11794" max="11794" width="4.140625" style="262" customWidth="1"/>
    <col min="11795" max="11800" width="4.42578125" style="262" customWidth="1"/>
    <col min="11801" max="11801" width="7" style="262" customWidth="1"/>
    <col min="11802" max="11802" width="0" style="262" hidden="1" customWidth="1"/>
    <col min="11803" max="11806" width="3.5703125" style="262" customWidth="1"/>
    <col min="11807" max="11808" width="3.5703125" style="262"/>
    <col min="11809" max="11810" width="0" style="262" hidden="1" customWidth="1"/>
    <col min="11811" max="11817" width="3.5703125" style="262"/>
    <col min="11818" max="11818" width="5.5703125" style="262" bestFit="1" customWidth="1"/>
    <col min="11819" max="11820" width="3.5703125" style="262"/>
    <col min="11821" max="11821" width="6.5703125" style="262" bestFit="1" customWidth="1"/>
    <col min="11822" max="11822" width="3.5703125" style="262"/>
    <col min="11823" max="11823" width="5.5703125" style="262" bestFit="1" customWidth="1"/>
    <col min="11824" max="12035" width="3.5703125" style="262"/>
    <col min="12036" max="12036" width="11.42578125" style="262" customWidth="1"/>
    <col min="12037" max="12037" width="1.85546875" style="262" customWidth="1"/>
    <col min="12038" max="12041" width="5.42578125" style="262" customWidth="1"/>
    <col min="12042" max="12042" width="10.42578125" style="262" customWidth="1"/>
    <col min="12043" max="12043" width="7.85546875" style="262" customWidth="1"/>
    <col min="12044" max="12044" width="8.85546875" style="262" customWidth="1"/>
    <col min="12045" max="12045" width="8.42578125" style="262" customWidth="1"/>
    <col min="12046" max="12046" width="4.42578125" style="262" customWidth="1"/>
    <col min="12047" max="12048" width="4.140625" style="262" customWidth="1"/>
    <col min="12049" max="12049" width="6.85546875" style="262" customWidth="1"/>
    <col min="12050" max="12050" width="4.140625" style="262" customWidth="1"/>
    <col min="12051" max="12056" width="4.42578125" style="262" customWidth="1"/>
    <col min="12057" max="12057" width="7" style="262" customWidth="1"/>
    <col min="12058" max="12058" width="0" style="262" hidden="1" customWidth="1"/>
    <col min="12059" max="12062" width="3.5703125" style="262" customWidth="1"/>
    <col min="12063" max="12064" width="3.5703125" style="262"/>
    <col min="12065" max="12066" width="0" style="262" hidden="1" customWidth="1"/>
    <col min="12067" max="12073" width="3.5703125" style="262"/>
    <col min="12074" max="12074" width="5.5703125" style="262" bestFit="1" customWidth="1"/>
    <col min="12075" max="12076" width="3.5703125" style="262"/>
    <col min="12077" max="12077" width="6.5703125" style="262" bestFit="1" customWidth="1"/>
    <col min="12078" max="12078" width="3.5703125" style="262"/>
    <col min="12079" max="12079" width="5.5703125" style="262" bestFit="1" customWidth="1"/>
    <col min="12080" max="12291" width="3.5703125" style="262"/>
    <col min="12292" max="12292" width="11.42578125" style="262" customWidth="1"/>
    <col min="12293" max="12293" width="1.85546875" style="262" customWidth="1"/>
    <col min="12294" max="12297" width="5.42578125" style="262" customWidth="1"/>
    <col min="12298" max="12298" width="10.42578125" style="262" customWidth="1"/>
    <col min="12299" max="12299" width="7.85546875" style="262" customWidth="1"/>
    <col min="12300" max="12300" width="8.85546875" style="262" customWidth="1"/>
    <col min="12301" max="12301" width="8.42578125" style="262" customWidth="1"/>
    <col min="12302" max="12302" width="4.42578125" style="262" customWidth="1"/>
    <col min="12303" max="12304" width="4.140625" style="262" customWidth="1"/>
    <col min="12305" max="12305" width="6.85546875" style="262" customWidth="1"/>
    <col min="12306" max="12306" width="4.140625" style="262" customWidth="1"/>
    <col min="12307" max="12312" width="4.42578125" style="262" customWidth="1"/>
    <col min="12313" max="12313" width="7" style="262" customWidth="1"/>
    <col min="12314" max="12314" width="0" style="262" hidden="1" customWidth="1"/>
    <col min="12315" max="12318" width="3.5703125" style="262" customWidth="1"/>
    <col min="12319" max="12320" width="3.5703125" style="262"/>
    <col min="12321" max="12322" width="0" style="262" hidden="1" customWidth="1"/>
    <col min="12323" max="12329" width="3.5703125" style="262"/>
    <col min="12330" max="12330" width="5.5703125" style="262" bestFit="1" customWidth="1"/>
    <col min="12331" max="12332" width="3.5703125" style="262"/>
    <col min="12333" max="12333" width="6.5703125" style="262" bestFit="1" customWidth="1"/>
    <col min="12334" max="12334" width="3.5703125" style="262"/>
    <col min="12335" max="12335" width="5.5703125" style="262" bestFit="1" customWidth="1"/>
    <col min="12336" max="12547" width="3.5703125" style="262"/>
    <col min="12548" max="12548" width="11.42578125" style="262" customWidth="1"/>
    <col min="12549" max="12549" width="1.85546875" style="262" customWidth="1"/>
    <col min="12550" max="12553" width="5.42578125" style="262" customWidth="1"/>
    <col min="12554" max="12554" width="10.42578125" style="262" customWidth="1"/>
    <col min="12555" max="12555" width="7.85546875" style="262" customWidth="1"/>
    <col min="12556" max="12556" width="8.85546875" style="262" customWidth="1"/>
    <col min="12557" max="12557" width="8.42578125" style="262" customWidth="1"/>
    <col min="12558" max="12558" width="4.42578125" style="262" customWidth="1"/>
    <col min="12559" max="12560" width="4.140625" style="262" customWidth="1"/>
    <col min="12561" max="12561" width="6.85546875" style="262" customWidth="1"/>
    <col min="12562" max="12562" width="4.140625" style="262" customWidth="1"/>
    <col min="12563" max="12568" width="4.42578125" style="262" customWidth="1"/>
    <col min="12569" max="12569" width="7" style="262" customWidth="1"/>
    <col min="12570" max="12570" width="0" style="262" hidden="1" customWidth="1"/>
    <col min="12571" max="12574" width="3.5703125" style="262" customWidth="1"/>
    <col min="12575" max="12576" width="3.5703125" style="262"/>
    <col min="12577" max="12578" width="0" style="262" hidden="1" customWidth="1"/>
    <col min="12579" max="12585" width="3.5703125" style="262"/>
    <col min="12586" max="12586" width="5.5703125" style="262" bestFit="1" customWidth="1"/>
    <col min="12587" max="12588" width="3.5703125" style="262"/>
    <col min="12589" max="12589" width="6.5703125" style="262" bestFit="1" customWidth="1"/>
    <col min="12590" max="12590" width="3.5703125" style="262"/>
    <col min="12591" max="12591" width="5.5703125" style="262" bestFit="1" customWidth="1"/>
    <col min="12592" max="12803" width="3.5703125" style="262"/>
    <col min="12804" max="12804" width="11.42578125" style="262" customWidth="1"/>
    <col min="12805" max="12805" width="1.85546875" style="262" customWidth="1"/>
    <col min="12806" max="12809" width="5.42578125" style="262" customWidth="1"/>
    <col min="12810" max="12810" width="10.42578125" style="262" customWidth="1"/>
    <col min="12811" max="12811" width="7.85546875" style="262" customWidth="1"/>
    <col min="12812" max="12812" width="8.85546875" style="262" customWidth="1"/>
    <col min="12813" max="12813" width="8.42578125" style="262" customWidth="1"/>
    <col min="12814" max="12814" width="4.42578125" style="262" customWidth="1"/>
    <col min="12815" max="12816" width="4.140625" style="262" customWidth="1"/>
    <col min="12817" max="12817" width="6.85546875" style="262" customWidth="1"/>
    <col min="12818" max="12818" width="4.140625" style="262" customWidth="1"/>
    <col min="12819" max="12824" width="4.42578125" style="262" customWidth="1"/>
    <col min="12825" max="12825" width="7" style="262" customWidth="1"/>
    <col min="12826" max="12826" width="0" style="262" hidden="1" customWidth="1"/>
    <col min="12827" max="12830" width="3.5703125" style="262" customWidth="1"/>
    <col min="12831" max="12832" width="3.5703125" style="262"/>
    <col min="12833" max="12834" width="0" style="262" hidden="1" customWidth="1"/>
    <col min="12835" max="12841" width="3.5703125" style="262"/>
    <col min="12842" max="12842" width="5.5703125" style="262" bestFit="1" customWidth="1"/>
    <col min="12843" max="12844" width="3.5703125" style="262"/>
    <col min="12845" max="12845" width="6.5703125" style="262" bestFit="1" customWidth="1"/>
    <col min="12846" max="12846" width="3.5703125" style="262"/>
    <col min="12847" max="12847" width="5.5703125" style="262" bestFit="1" customWidth="1"/>
    <col min="12848" max="13059" width="3.5703125" style="262"/>
    <col min="13060" max="13060" width="11.42578125" style="262" customWidth="1"/>
    <col min="13061" max="13061" width="1.85546875" style="262" customWidth="1"/>
    <col min="13062" max="13065" width="5.42578125" style="262" customWidth="1"/>
    <col min="13066" max="13066" width="10.42578125" style="262" customWidth="1"/>
    <col min="13067" max="13067" width="7.85546875" style="262" customWidth="1"/>
    <col min="13068" max="13068" width="8.85546875" style="262" customWidth="1"/>
    <col min="13069" max="13069" width="8.42578125" style="262" customWidth="1"/>
    <col min="13070" max="13070" width="4.42578125" style="262" customWidth="1"/>
    <col min="13071" max="13072" width="4.140625" style="262" customWidth="1"/>
    <col min="13073" max="13073" width="6.85546875" style="262" customWidth="1"/>
    <col min="13074" max="13074" width="4.140625" style="262" customWidth="1"/>
    <col min="13075" max="13080" width="4.42578125" style="262" customWidth="1"/>
    <col min="13081" max="13081" width="7" style="262" customWidth="1"/>
    <col min="13082" max="13082" width="0" style="262" hidden="1" customWidth="1"/>
    <col min="13083" max="13086" width="3.5703125" style="262" customWidth="1"/>
    <col min="13087" max="13088" width="3.5703125" style="262"/>
    <col min="13089" max="13090" width="0" style="262" hidden="1" customWidth="1"/>
    <col min="13091" max="13097" width="3.5703125" style="262"/>
    <col min="13098" max="13098" width="5.5703125" style="262" bestFit="1" customWidth="1"/>
    <col min="13099" max="13100" width="3.5703125" style="262"/>
    <col min="13101" max="13101" width="6.5703125" style="262" bestFit="1" customWidth="1"/>
    <col min="13102" max="13102" width="3.5703125" style="262"/>
    <col min="13103" max="13103" width="5.5703125" style="262" bestFit="1" customWidth="1"/>
    <col min="13104" max="13315" width="3.5703125" style="262"/>
    <col min="13316" max="13316" width="11.42578125" style="262" customWidth="1"/>
    <col min="13317" max="13317" width="1.85546875" style="262" customWidth="1"/>
    <col min="13318" max="13321" width="5.42578125" style="262" customWidth="1"/>
    <col min="13322" max="13322" width="10.42578125" style="262" customWidth="1"/>
    <col min="13323" max="13323" width="7.85546875" style="262" customWidth="1"/>
    <col min="13324" max="13324" width="8.85546875" style="262" customWidth="1"/>
    <col min="13325" max="13325" width="8.42578125" style="262" customWidth="1"/>
    <col min="13326" max="13326" width="4.42578125" style="262" customWidth="1"/>
    <col min="13327" max="13328" width="4.140625" style="262" customWidth="1"/>
    <col min="13329" max="13329" width="6.85546875" style="262" customWidth="1"/>
    <col min="13330" max="13330" width="4.140625" style="262" customWidth="1"/>
    <col min="13331" max="13336" width="4.42578125" style="262" customWidth="1"/>
    <col min="13337" max="13337" width="7" style="262" customWidth="1"/>
    <col min="13338" max="13338" width="0" style="262" hidden="1" customWidth="1"/>
    <col min="13339" max="13342" width="3.5703125" style="262" customWidth="1"/>
    <col min="13343" max="13344" width="3.5703125" style="262"/>
    <col min="13345" max="13346" width="0" style="262" hidden="1" customWidth="1"/>
    <col min="13347" max="13353" width="3.5703125" style="262"/>
    <col min="13354" max="13354" width="5.5703125" style="262" bestFit="1" customWidth="1"/>
    <col min="13355" max="13356" width="3.5703125" style="262"/>
    <col min="13357" max="13357" width="6.5703125" style="262" bestFit="1" customWidth="1"/>
    <col min="13358" max="13358" width="3.5703125" style="262"/>
    <col min="13359" max="13359" width="5.5703125" style="262" bestFit="1" customWidth="1"/>
    <col min="13360" max="13571" width="3.5703125" style="262"/>
    <col min="13572" max="13572" width="11.42578125" style="262" customWidth="1"/>
    <col min="13573" max="13573" width="1.85546875" style="262" customWidth="1"/>
    <col min="13574" max="13577" width="5.42578125" style="262" customWidth="1"/>
    <col min="13578" max="13578" width="10.42578125" style="262" customWidth="1"/>
    <col min="13579" max="13579" width="7.85546875" style="262" customWidth="1"/>
    <col min="13580" max="13580" width="8.85546875" style="262" customWidth="1"/>
    <col min="13581" max="13581" width="8.42578125" style="262" customWidth="1"/>
    <col min="13582" max="13582" width="4.42578125" style="262" customWidth="1"/>
    <col min="13583" max="13584" width="4.140625" style="262" customWidth="1"/>
    <col min="13585" max="13585" width="6.85546875" style="262" customWidth="1"/>
    <col min="13586" max="13586" width="4.140625" style="262" customWidth="1"/>
    <col min="13587" max="13592" width="4.42578125" style="262" customWidth="1"/>
    <col min="13593" max="13593" width="7" style="262" customWidth="1"/>
    <col min="13594" max="13594" width="0" style="262" hidden="1" customWidth="1"/>
    <col min="13595" max="13598" width="3.5703125" style="262" customWidth="1"/>
    <col min="13599" max="13600" width="3.5703125" style="262"/>
    <col min="13601" max="13602" width="0" style="262" hidden="1" customWidth="1"/>
    <col min="13603" max="13609" width="3.5703125" style="262"/>
    <col min="13610" max="13610" width="5.5703125" style="262" bestFit="1" customWidth="1"/>
    <col min="13611" max="13612" width="3.5703125" style="262"/>
    <col min="13613" max="13613" width="6.5703125" style="262" bestFit="1" customWidth="1"/>
    <col min="13614" max="13614" width="3.5703125" style="262"/>
    <col min="13615" max="13615" width="5.5703125" style="262" bestFit="1" customWidth="1"/>
    <col min="13616" max="13827" width="3.5703125" style="262"/>
    <col min="13828" max="13828" width="11.42578125" style="262" customWidth="1"/>
    <col min="13829" max="13829" width="1.85546875" style="262" customWidth="1"/>
    <col min="13830" max="13833" width="5.42578125" style="262" customWidth="1"/>
    <col min="13834" max="13834" width="10.42578125" style="262" customWidth="1"/>
    <col min="13835" max="13835" width="7.85546875" style="262" customWidth="1"/>
    <col min="13836" max="13836" width="8.85546875" style="262" customWidth="1"/>
    <col min="13837" max="13837" width="8.42578125" style="262" customWidth="1"/>
    <col min="13838" max="13838" width="4.42578125" style="262" customWidth="1"/>
    <col min="13839" max="13840" width="4.140625" style="262" customWidth="1"/>
    <col min="13841" max="13841" width="6.85546875" style="262" customWidth="1"/>
    <col min="13842" max="13842" width="4.140625" style="262" customWidth="1"/>
    <col min="13843" max="13848" width="4.42578125" style="262" customWidth="1"/>
    <col min="13849" max="13849" width="7" style="262" customWidth="1"/>
    <col min="13850" max="13850" width="0" style="262" hidden="1" customWidth="1"/>
    <col min="13851" max="13854" width="3.5703125" style="262" customWidth="1"/>
    <col min="13855" max="13856" width="3.5703125" style="262"/>
    <col min="13857" max="13858" width="0" style="262" hidden="1" customWidth="1"/>
    <col min="13859" max="13865" width="3.5703125" style="262"/>
    <col min="13866" max="13866" width="5.5703125" style="262" bestFit="1" customWidth="1"/>
    <col min="13867" max="13868" width="3.5703125" style="262"/>
    <col min="13869" max="13869" width="6.5703125" style="262" bestFit="1" customWidth="1"/>
    <col min="13870" max="13870" width="3.5703125" style="262"/>
    <col min="13871" max="13871" width="5.5703125" style="262" bestFit="1" customWidth="1"/>
    <col min="13872" max="14083" width="3.5703125" style="262"/>
    <col min="14084" max="14084" width="11.42578125" style="262" customWidth="1"/>
    <col min="14085" max="14085" width="1.85546875" style="262" customWidth="1"/>
    <col min="14086" max="14089" width="5.42578125" style="262" customWidth="1"/>
    <col min="14090" max="14090" width="10.42578125" style="262" customWidth="1"/>
    <col min="14091" max="14091" width="7.85546875" style="262" customWidth="1"/>
    <col min="14092" max="14092" width="8.85546875" style="262" customWidth="1"/>
    <col min="14093" max="14093" width="8.42578125" style="262" customWidth="1"/>
    <col min="14094" max="14094" width="4.42578125" style="262" customWidth="1"/>
    <col min="14095" max="14096" width="4.140625" style="262" customWidth="1"/>
    <col min="14097" max="14097" width="6.85546875" style="262" customWidth="1"/>
    <col min="14098" max="14098" width="4.140625" style="262" customWidth="1"/>
    <col min="14099" max="14104" width="4.42578125" style="262" customWidth="1"/>
    <col min="14105" max="14105" width="7" style="262" customWidth="1"/>
    <col min="14106" max="14106" width="0" style="262" hidden="1" customWidth="1"/>
    <col min="14107" max="14110" width="3.5703125" style="262" customWidth="1"/>
    <col min="14111" max="14112" width="3.5703125" style="262"/>
    <col min="14113" max="14114" width="0" style="262" hidden="1" customWidth="1"/>
    <col min="14115" max="14121" width="3.5703125" style="262"/>
    <col min="14122" max="14122" width="5.5703125" style="262" bestFit="1" customWidth="1"/>
    <col min="14123" max="14124" width="3.5703125" style="262"/>
    <col min="14125" max="14125" width="6.5703125" style="262" bestFit="1" customWidth="1"/>
    <col min="14126" max="14126" width="3.5703125" style="262"/>
    <col min="14127" max="14127" width="5.5703125" style="262" bestFit="1" customWidth="1"/>
    <col min="14128" max="14339" width="3.5703125" style="262"/>
    <col min="14340" max="14340" width="11.42578125" style="262" customWidth="1"/>
    <col min="14341" max="14341" width="1.85546875" style="262" customWidth="1"/>
    <col min="14342" max="14345" width="5.42578125" style="262" customWidth="1"/>
    <col min="14346" max="14346" width="10.42578125" style="262" customWidth="1"/>
    <col min="14347" max="14347" width="7.85546875" style="262" customWidth="1"/>
    <col min="14348" max="14348" width="8.85546875" style="262" customWidth="1"/>
    <col min="14349" max="14349" width="8.42578125" style="262" customWidth="1"/>
    <col min="14350" max="14350" width="4.42578125" style="262" customWidth="1"/>
    <col min="14351" max="14352" width="4.140625" style="262" customWidth="1"/>
    <col min="14353" max="14353" width="6.85546875" style="262" customWidth="1"/>
    <col min="14354" max="14354" width="4.140625" style="262" customWidth="1"/>
    <col min="14355" max="14360" width="4.42578125" style="262" customWidth="1"/>
    <col min="14361" max="14361" width="7" style="262" customWidth="1"/>
    <col min="14362" max="14362" width="0" style="262" hidden="1" customWidth="1"/>
    <col min="14363" max="14366" width="3.5703125" style="262" customWidth="1"/>
    <col min="14367" max="14368" width="3.5703125" style="262"/>
    <col min="14369" max="14370" width="0" style="262" hidden="1" customWidth="1"/>
    <col min="14371" max="14377" width="3.5703125" style="262"/>
    <col min="14378" max="14378" width="5.5703125" style="262" bestFit="1" customWidth="1"/>
    <col min="14379" max="14380" width="3.5703125" style="262"/>
    <col min="14381" max="14381" width="6.5703125" style="262" bestFit="1" customWidth="1"/>
    <col min="14382" max="14382" width="3.5703125" style="262"/>
    <col min="14383" max="14383" width="5.5703125" style="262" bestFit="1" customWidth="1"/>
    <col min="14384" max="14595" width="3.5703125" style="262"/>
    <col min="14596" max="14596" width="11.42578125" style="262" customWidth="1"/>
    <col min="14597" max="14597" width="1.85546875" style="262" customWidth="1"/>
    <col min="14598" max="14601" width="5.42578125" style="262" customWidth="1"/>
    <col min="14602" max="14602" width="10.42578125" style="262" customWidth="1"/>
    <col min="14603" max="14603" width="7.85546875" style="262" customWidth="1"/>
    <col min="14604" max="14604" width="8.85546875" style="262" customWidth="1"/>
    <col min="14605" max="14605" width="8.42578125" style="262" customWidth="1"/>
    <col min="14606" max="14606" width="4.42578125" style="262" customWidth="1"/>
    <col min="14607" max="14608" width="4.140625" style="262" customWidth="1"/>
    <col min="14609" max="14609" width="6.85546875" style="262" customWidth="1"/>
    <col min="14610" max="14610" width="4.140625" style="262" customWidth="1"/>
    <col min="14611" max="14616" width="4.42578125" style="262" customWidth="1"/>
    <col min="14617" max="14617" width="7" style="262" customWidth="1"/>
    <col min="14618" max="14618" width="0" style="262" hidden="1" customWidth="1"/>
    <col min="14619" max="14622" width="3.5703125" style="262" customWidth="1"/>
    <col min="14623" max="14624" width="3.5703125" style="262"/>
    <col min="14625" max="14626" width="0" style="262" hidden="1" customWidth="1"/>
    <col min="14627" max="14633" width="3.5703125" style="262"/>
    <col min="14634" max="14634" width="5.5703125" style="262" bestFit="1" customWidth="1"/>
    <col min="14635" max="14636" width="3.5703125" style="262"/>
    <col min="14637" max="14637" width="6.5703125" style="262" bestFit="1" customWidth="1"/>
    <col min="14638" max="14638" width="3.5703125" style="262"/>
    <col min="14639" max="14639" width="5.5703125" style="262" bestFit="1" customWidth="1"/>
    <col min="14640" max="14851" width="3.5703125" style="262"/>
    <col min="14852" max="14852" width="11.42578125" style="262" customWidth="1"/>
    <col min="14853" max="14853" width="1.85546875" style="262" customWidth="1"/>
    <col min="14854" max="14857" width="5.42578125" style="262" customWidth="1"/>
    <col min="14858" max="14858" width="10.42578125" style="262" customWidth="1"/>
    <col min="14859" max="14859" width="7.85546875" style="262" customWidth="1"/>
    <col min="14860" max="14860" width="8.85546875" style="262" customWidth="1"/>
    <col min="14861" max="14861" width="8.42578125" style="262" customWidth="1"/>
    <col min="14862" max="14862" width="4.42578125" style="262" customWidth="1"/>
    <col min="14863" max="14864" width="4.140625" style="262" customWidth="1"/>
    <col min="14865" max="14865" width="6.85546875" style="262" customWidth="1"/>
    <col min="14866" max="14866" width="4.140625" style="262" customWidth="1"/>
    <col min="14867" max="14872" width="4.42578125" style="262" customWidth="1"/>
    <col min="14873" max="14873" width="7" style="262" customWidth="1"/>
    <col min="14874" max="14874" width="0" style="262" hidden="1" customWidth="1"/>
    <col min="14875" max="14878" width="3.5703125" style="262" customWidth="1"/>
    <col min="14879" max="14880" width="3.5703125" style="262"/>
    <col min="14881" max="14882" width="0" style="262" hidden="1" customWidth="1"/>
    <col min="14883" max="14889" width="3.5703125" style="262"/>
    <col min="14890" max="14890" width="5.5703125" style="262" bestFit="1" customWidth="1"/>
    <col min="14891" max="14892" width="3.5703125" style="262"/>
    <col min="14893" max="14893" width="6.5703125" style="262" bestFit="1" customWidth="1"/>
    <col min="14894" max="14894" width="3.5703125" style="262"/>
    <col min="14895" max="14895" width="5.5703125" style="262" bestFit="1" customWidth="1"/>
    <col min="14896" max="15107" width="3.5703125" style="262"/>
    <col min="15108" max="15108" width="11.42578125" style="262" customWidth="1"/>
    <col min="15109" max="15109" width="1.85546875" style="262" customWidth="1"/>
    <col min="15110" max="15113" width="5.42578125" style="262" customWidth="1"/>
    <col min="15114" max="15114" width="10.42578125" style="262" customWidth="1"/>
    <col min="15115" max="15115" width="7.85546875" style="262" customWidth="1"/>
    <col min="15116" max="15116" width="8.85546875" style="262" customWidth="1"/>
    <col min="15117" max="15117" width="8.42578125" style="262" customWidth="1"/>
    <col min="15118" max="15118" width="4.42578125" style="262" customWidth="1"/>
    <col min="15119" max="15120" width="4.140625" style="262" customWidth="1"/>
    <col min="15121" max="15121" width="6.85546875" style="262" customWidth="1"/>
    <col min="15122" max="15122" width="4.140625" style="262" customWidth="1"/>
    <col min="15123" max="15128" width="4.42578125" style="262" customWidth="1"/>
    <col min="15129" max="15129" width="7" style="262" customWidth="1"/>
    <col min="15130" max="15130" width="0" style="262" hidden="1" customWidth="1"/>
    <col min="15131" max="15134" width="3.5703125" style="262" customWidth="1"/>
    <col min="15135" max="15136" width="3.5703125" style="262"/>
    <col min="15137" max="15138" width="0" style="262" hidden="1" customWidth="1"/>
    <col min="15139" max="15145" width="3.5703125" style="262"/>
    <col min="15146" max="15146" width="5.5703125" style="262" bestFit="1" customWidth="1"/>
    <col min="15147" max="15148" width="3.5703125" style="262"/>
    <col min="15149" max="15149" width="6.5703125" style="262" bestFit="1" customWidth="1"/>
    <col min="15150" max="15150" width="3.5703125" style="262"/>
    <col min="15151" max="15151" width="5.5703125" style="262" bestFit="1" customWidth="1"/>
    <col min="15152" max="15363" width="3.5703125" style="262"/>
    <col min="15364" max="15364" width="11.42578125" style="262" customWidth="1"/>
    <col min="15365" max="15365" width="1.85546875" style="262" customWidth="1"/>
    <col min="15366" max="15369" width="5.42578125" style="262" customWidth="1"/>
    <col min="15370" max="15370" width="10.42578125" style="262" customWidth="1"/>
    <col min="15371" max="15371" width="7.85546875" style="262" customWidth="1"/>
    <col min="15372" max="15372" width="8.85546875" style="262" customWidth="1"/>
    <col min="15373" max="15373" width="8.42578125" style="262" customWidth="1"/>
    <col min="15374" max="15374" width="4.42578125" style="262" customWidth="1"/>
    <col min="15375" max="15376" width="4.140625" style="262" customWidth="1"/>
    <col min="15377" max="15377" width="6.85546875" style="262" customWidth="1"/>
    <col min="15378" max="15378" width="4.140625" style="262" customWidth="1"/>
    <col min="15379" max="15384" width="4.42578125" style="262" customWidth="1"/>
    <col min="15385" max="15385" width="7" style="262" customWidth="1"/>
    <col min="15386" max="15386" width="0" style="262" hidden="1" customWidth="1"/>
    <col min="15387" max="15390" width="3.5703125" style="262" customWidth="1"/>
    <col min="15391" max="15392" width="3.5703125" style="262"/>
    <col min="15393" max="15394" width="0" style="262" hidden="1" customWidth="1"/>
    <col min="15395" max="15401" width="3.5703125" style="262"/>
    <col min="15402" max="15402" width="5.5703125" style="262" bestFit="1" customWidth="1"/>
    <col min="15403" max="15404" width="3.5703125" style="262"/>
    <col min="15405" max="15405" width="6.5703125" style="262" bestFit="1" customWidth="1"/>
    <col min="15406" max="15406" width="3.5703125" style="262"/>
    <col min="15407" max="15407" width="5.5703125" style="262" bestFit="1" customWidth="1"/>
    <col min="15408" max="15619" width="3.5703125" style="262"/>
    <col min="15620" max="15620" width="11.42578125" style="262" customWidth="1"/>
    <col min="15621" max="15621" width="1.85546875" style="262" customWidth="1"/>
    <col min="15622" max="15625" width="5.42578125" style="262" customWidth="1"/>
    <col min="15626" max="15626" width="10.42578125" style="262" customWidth="1"/>
    <col min="15627" max="15627" width="7.85546875" style="262" customWidth="1"/>
    <col min="15628" max="15628" width="8.85546875" style="262" customWidth="1"/>
    <col min="15629" max="15629" width="8.42578125" style="262" customWidth="1"/>
    <col min="15630" max="15630" width="4.42578125" style="262" customWidth="1"/>
    <col min="15631" max="15632" width="4.140625" style="262" customWidth="1"/>
    <col min="15633" max="15633" width="6.85546875" style="262" customWidth="1"/>
    <col min="15634" max="15634" width="4.140625" style="262" customWidth="1"/>
    <col min="15635" max="15640" width="4.42578125" style="262" customWidth="1"/>
    <col min="15641" max="15641" width="7" style="262" customWidth="1"/>
    <col min="15642" max="15642" width="0" style="262" hidden="1" customWidth="1"/>
    <col min="15643" max="15646" width="3.5703125" style="262" customWidth="1"/>
    <col min="15647" max="15648" width="3.5703125" style="262"/>
    <col min="15649" max="15650" width="0" style="262" hidden="1" customWidth="1"/>
    <col min="15651" max="15657" width="3.5703125" style="262"/>
    <col min="15658" max="15658" width="5.5703125" style="262" bestFit="1" customWidth="1"/>
    <col min="15659" max="15660" width="3.5703125" style="262"/>
    <col min="15661" max="15661" width="6.5703125" style="262" bestFit="1" customWidth="1"/>
    <col min="15662" max="15662" width="3.5703125" style="262"/>
    <col min="15663" max="15663" width="5.5703125" style="262" bestFit="1" customWidth="1"/>
    <col min="15664" max="15875" width="3.5703125" style="262"/>
    <col min="15876" max="15876" width="11.42578125" style="262" customWidth="1"/>
    <col min="15877" max="15877" width="1.85546875" style="262" customWidth="1"/>
    <col min="15878" max="15881" width="5.42578125" style="262" customWidth="1"/>
    <col min="15882" max="15882" width="10.42578125" style="262" customWidth="1"/>
    <col min="15883" max="15883" width="7.85546875" style="262" customWidth="1"/>
    <col min="15884" max="15884" width="8.85546875" style="262" customWidth="1"/>
    <col min="15885" max="15885" width="8.42578125" style="262" customWidth="1"/>
    <col min="15886" max="15886" width="4.42578125" style="262" customWidth="1"/>
    <col min="15887" max="15888" width="4.140625" style="262" customWidth="1"/>
    <col min="15889" max="15889" width="6.85546875" style="262" customWidth="1"/>
    <col min="15890" max="15890" width="4.140625" style="262" customWidth="1"/>
    <col min="15891" max="15896" width="4.42578125" style="262" customWidth="1"/>
    <col min="15897" max="15897" width="7" style="262" customWidth="1"/>
    <col min="15898" max="15898" width="0" style="262" hidden="1" customWidth="1"/>
    <col min="15899" max="15902" width="3.5703125" style="262" customWidth="1"/>
    <col min="15903" max="15904" width="3.5703125" style="262"/>
    <col min="15905" max="15906" width="0" style="262" hidden="1" customWidth="1"/>
    <col min="15907" max="15913" width="3.5703125" style="262"/>
    <col min="15914" max="15914" width="5.5703125" style="262" bestFit="1" customWidth="1"/>
    <col min="15915" max="15916" width="3.5703125" style="262"/>
    <col min="15917" max="15917" width="6.5703125" style="262" bestFit="1" customWidth="1"/>
    <col min="15918" max="15918" width="3.5703125" style="262"/>
    <col min="15919" max="15919" width="5.5703125" style="262" bestFit="1" customWidth="1"/>
    <col min="15920" max="16131" width="3.5703125" style="262"/>
    <col min="16132" max="16132" width="11.42578125" style="262" customWidth="1"/>
    <col min="16133" max="16133" width="1.85546875" style="262" customWidth="1"/>
    <col min="16134" max="16137" width="5.42578125" style="262" customWidth="1"/>
    <col min="16138" max="16138" width="10.42578125" style="262" customWidth="1"/>
    <col min="16139" max="16139" width="7.85546875" style="262" customWidth="1"/>
    <col min="16140" max="16140" width="8.85546875" style="262" customWidth="1"/>
    <col min="16141" max="16141" width="8.42578125" style="262" customWidth="1"/>
    <col min="16142" max="16142" width="4.42578125" style="262" customWidth="1"/>
    <col min="16143" max="16144" width="4.140625" style="262" customWidth="1"/>
    <col min="16145" max="16145" width="6.85546875" style="262" customWidth="1"/>
    <col min="16146" max="16146" width="4.140625" style="262" customWidth="1"/>
    <col min="16147" max="16152" width="4.42578125" style="262" customWidth="1"/>
    <col min="16153" max="16153" width="7" style="262" customWidth="1"/>
    <col min="16154" max="16154" width="0" style="262" hidden="1" customWidth="1"/>
    <col min="16155" max="16158" width="3.5703125" style="262" customWidth="1"/>
    <col min="16159" max="16160" width="3.5703125" style="262"/>
    <col min="16161" max="16162" width="0" style="262" hidden="1" customWidth="1"/>
    <col min="16163" max="16169" width="3.5703125" style="262"/>
    <col min="16170" max="16170" width="5.5703125" style="262" bestFit="1" customWidth="1"/>
    <col min="16171" max="16172" width="3.5703125" style="262"/>
    <col min="16173" max="16173" width="6.5703125" style="262" bestFit="1" customWidth="1"/>
    <col min="16174" max="16174" width="3.5703125" style="262"/>
    <col min="16175" max="16175" width="5.5703125" style="262" bestFit="1" customWidth="1"/>
    <col min="16176" max="16384" width="3.5703125" style="262"/>
  </cols>
  <sheetData>
    <row r="1" spans="2:36" s="7" customFormat="1" ht="9.9499999999999993" customHeight="1" x14ac:dyDescent="0.25">
      <c r="B1" s="637" t="s">
        <v>292</v>
      </c>
      <c r="C1" s="637"/>
      <c r="D1" s="637"/>
      <c r="E1" s="637"/>
      <c r="F1" s="637"/>
      <c r="G1" s="637"/>
      <c r="H1" s="637"/>
      <c r="I1" s="637"/>
      <c r="J1" s="637"/>
      <c r="K1" s="637"/>
      <c r="L1" s="637"/>
      <c r="M1" s="637"/>
      <c r="N1" s="637"/>
      <c r="O1" s="637"/>
      <c r="P1" s="637"/>
      <c r="Q1" s="637"/>
      <c r="R1" s="637"/>
      <c r="S1" s="637"/>
      <c r="T1" s="637"/>
      <c r="U1" s="637"/>
      <c r="V1" s="637"/>
      <c r="W1" s="637"/>
      <c r="X1" s="637"/>
      <c r="Y1" s="637"/>
      <c r="AB1" s="263"/>
      <c r="AC1" s="263"/>
      <c r="AD1" s="263"/>
      <c r="AE1" s="263"/>
      <c r="AF1" s="263"/>
      <c r="AG1" s="263"/>
      <c r="AH1" s="263"/>
      <c r="AI1" s="263"/>
      <c r="AJ1" s="263"/>
    </row>
    <row r="2" spans="2:36" s="7" customFormat="1" ht="9.9499999999999993" customHeight="1" x14ac:dyDescent="0.25">
      <c r="B2" s="637"/>
      <c r="C2" s="637"/>
      <c r="D2" s="637"/>
      <c r="E2" s="637"/>
      <c r="F2" s="637"/>
      <c r="G2" s="637"/>
      <c r="H2" s="637"/>
      <c r="I2" s="637"/>
      <c r="J2" s="637"/>
      <c r="K2" s="637"/>
      <c r="L2" s="637"/>
      <c r="M2" s="637"/>
      <c r="N2" s="637"/>
      <c r="O2" s="637"/>
      <c r="P2" s="637"/>
      <c r="Q2" s="637"/>
      <c r="R2" s="637"/>
      <c r="S2" s="637"/>
      <c r="T2" s="637"/>
      <c r="U2" s="637"/>
      <c r="V2" s="637"/>
      <c r="W2" s="637"/>
      <c r="X2" s="637"/>
      <c r="Y2" s="637"/>
      <c r="AB2" s="263"/>
      <c r="AC2" s="263"/>
      <c r="AD2" s="263"/>
      <c r="AE2" s="263"/>
      <c r="AF2" s="263"/>
      <c r="AG2" s="263"/>
      <c r="AH2" s="263"/>
      <c r="AI2" s="263"/>
      <c r="AJ2" s="263"/>
    </row>
    <row r="3" spans="2:36" s="7" customFormat="1" ht="9.9499999999999993" customHeight="1" x14ac:dyDescent="0.25">
      <c r="B3" s="637"/>
      <c r="C3" s="637"/>
      <c r="D3" s="637"/>
      <c r="E3" s="637"/>
      <c r="F3" s="637"/>
      <c r="G3" s="637"/>
      <c r="H3" s="637"/>
      <c r="I3" s="637"/>
      <c r="J3" s="637"/>
      <c r="K3" s="637"/>
      <c r="L3" s="637"/>
      <c r="M3" s="637"/>
      <c r="N3" s="637"/>
      <c r="O3" s="637"/>
      <c r="P3" s="637"/>
      <c r="Q3" s="637"/>
      <c r="R3" s="637"/>
      <c r="S3" s="637"/>
      <c r="T3" s="637"/>
      <c r="U3" s="637"/>
      <c r="V3" s="637"/>
      <c r="W3" s="637"/>
      <c r="X3" s="637"/>
      <c r="Y3" s="637"/>
      <c r="AB3" s="263"/>
      <c r="AC3" s="263"/>
      <c r="AD3" s="263"/>
      <c r="AE3" s="263"/>
      <c r="AF3" s="263"/>
      <c r="AG3" s="263"/>
      <c r="AH3" s="263"/>
      <c r="AI3" s="263"/>
      <c r="AJ3" s="263"/>
    </row>
    <row r="4" spans="2:36" s="7" customFormat="1" ht="9.9499999999999993" customHeight="1" x14ac:dyDescent="0.25">
      <c r="B4" s="637"/>
      <c r="C4" s="637"/>
      <c r="D4" s="637"/>
      <c r="E4" s="637"/>
      <c r="F4" s="637"/>
      <c r="G4" s="637"/>
      <c r="H4" s="637"/>
      <c r="I4" s="637"/>
      <c r="J4" s="637"/>
      <c r="K4" s="637"/>
      <c r="L4" s="637"/>
      <c r="M4" s="637"/>
      <c r="N4" s="637"/>
      <c r="O4" s="637"/>
      <c r="P4" s="637"/>
      <c r="Q4" s="637"/>
      <c r="R4" s="637"/>
      <c r="S4" s="637"/>
      <c r="T4" s="637"/>
      <c r="U4" s="637"/>
      <c r="V4" s="637"/>
      <c r="W4" s="637"/>
      <c r="X4" s="637"/>
      <c r="Y4" s="637"/>
      <c r="AB4" s="263"/>
      <c r="AC4" s="263"/>
      <c r="AD4" s="263"/>
      <c r="AE4" s="263"/>
      <c r="AF4" s="263"/>
      <c r="AG4" s="263"/>
      <c r="AH4" s="263"/>
      <c r="AI4" s="263"/>
      <c r="AJ4" s="263"/>
    </row>
    <row r="5" spans="2:36" s="7" customFormat="1" ht="9.9499999999999993" customHeight="1" x14ac:dyDescent="0.25">
      <c r="B5" s="637"/>
      <c r="C5" s="637"/>
      <c r="D5" s="637"/>
      <c r="E5" s="637"/>
      <c r="F5" s="637"/>
      <c r="G5" s="637"/>
      <c r="H5" s="637"/>
      <c r="I5" s="637"/>
      <c r="J5" s="637"/>
      <c r="K5" s="637"/>
      <c r="L5" s="637"/>
      <c r="M5" s="637"/>
      <c r="N5" s="637"/>
      <c r="O5" s="637"/>
      <c r="P5" s="637"/>
      <c r="Q5" s="637"/>
      <c r="R5" s="637"/>
      <c r="S5" s="637"/>
      <c r="T5" s="637"/>
      <c r="U5" s="637"/>
      <c r="V5" s="637"/>
      <c r="W5" s="637"/>
      <c r="X5" s="637"/>
      <c r="Y5" s="637"/>
      <c r="AB5" s="263"/>
      <c r="AC5" s="263"/>
      <c r="AD5" s="263"/>
      <c r="AE5" s="263"/>
      <c r="AF5" s="263"/>
      <c r="AG5" s="263"/>
      <c r="AH5" s="263"/>
      <c r="AI5" s="263"/>
      <c r="AJ5" s="263"/>
    </row>
    <row r="6" spans="2:36" s="7" customFormat="1" ht="9.9499999999999993" customHeight="1" x14ac:dyDescent="0.25">
      <c r="B6" s="637"/>
      <c r="C6" s="637"/>
      <c r="D6" s="637"/>
      <c r="E6" s="637"/>
      <c r="F6" s="637"/>
      <c r="G6" s="637"/>
      <c r="H6" s="637"/>
      <c r="I6" s="637"/>
      <c r="J6" s="637"/>
      <c r="K6" s="637"/>
      <c r="L6" s="637"/>
      <c r="M6" s="637"/>
      <c r="N6" s="637"/>
      <c r="O6" s="637"/>
      <c r="P6" s="637"/>
      <c r="Q6" s="637"/>
      <c r="R6" s="637"/>
      <c r="S6" s="637"/>
      <c r="T6" s="637"/>
      <c r="U6" s="637"/>
      <c r="V6" s="637"/>
      <c r="W6" s="637"/>
      <c r="X6" s="637"/>
      <c r="Y6" s="637"/>
      <c r="AB6" s="263"/>
      <c r="AC6" s="263"/>
      <c r="AD6" s="263"/>
      <c r="AE6" s="263"/>
      <c r="AF6" s="263"/>
      <c r="AG6" s="263"/>
      <c r="AH6" s="263"/>
      <c r="AI6" s="263"/>
      <c r="AJ6" s="263"/>
    </row>
    <row r="7" spans="2:36" s="7" customFormat="1" ht="15" x14ac:dyDescent="0.25">
      <c r="AB7" s="263"/>
      <c r="AC7" s="263"/>
      <c r="AD7" s="263"/>
      <c r="AE7" s="263"/>
      <c r="AF7" s="263"/>
      <c r="AG7" s="263"/>
      <c r="AH7" s="263"/>
      <c r="AI7" s="263"/>
      <c r="AJ7" s="263"/>
    </row>
    <row r="8" spans="2:36" s="261" customFormat="1" ht="18" customHeight="1" x14ac:dyDescent="0.25">
      <c r="B8" s="8" t="s">
        <v>49</v>
      </c>
      <c r="D8" s="13" t="str">
        <f>'DADOS DA OBRA'!$B$13</f>
        <v>TRIBUNAL REGIONAL ELEITORAL - PIAUÍ</v>
      </c>
      <c r="F8" s="9"/>
      <c r="G8" s="9"/>
      <c r="H8" s="9"/>
      <c r="I8" s="9"/>
      <c r="J8" s="9"/>
      <c r="K8" s="9"/>
      <c r="X8" s="10" t="s">
        <v>50</v>
      </c>
      <c r="Y8" s="11" t="str">
        <f>+'CURVA ABC - SERVIÇOS'!G8</f>
        <v>22/11/2021</v>
      </c>
      <c r="AB8" s="264"/>
      <c r="AC8" s="264"/>
      <c r="AD8" s="264"/>
      <c r="AE8" s="264"/>
      <c r="AF8" s="264"/>
      <c r="AG8" s="264"/>
      <c r="AH8" s="264"/>
      <c r="AI8" s="264"/>
      <c r="AJ8" s="264"/>
    </row>
    <row r="9" spans="2:36" s="261" customFormat="1" ht="18" customHeight="1" x14ac:dyDescent="0.25">
      <c r="B9" s="8" t="s">
        <v>68</v>
      </c>
      <c r="D9" s="13" t="str">
        <f>'DADOS DA OBRA'!$B$16</f>
        <v>SUBSTITUIÇÃO DE INSTALAÇÕES ELÉTRICAS E CABEAMENTO ESTRUTURADO - EDIFÍCIO ANEXO</v>
      </c>
      <c r="F9" s="12"/>
      <c r="G9" s="12"/>
      <c r="H9" s="12"/>
      <c r="I9" s="12"/>
      <c r="J9" s="12"/>
      <c r="K9" s="12"/>
      <c r="X9" s="10" t="s">
        <v>51</v>
      </c>
      <c r="Y9" s="11">
        <f>+'CURVA ABC - SERVIÇOS'!G9</f>
        <v>44733</v>
      </c>
      <c r="AB9" s="264"/>
      <c r="AC9" s="264"/>
      <c r="AD9" s="264"/>
      <c r="AE9" s="264"/>
      <c r="AF9" s="264"/>
      <c r="AG9" s="264"/>
      <c r="AH9" s="264"/>
      <c r="AI9" s="264"/>
      <c r="AJ9" s="264"/>
    </row>
    <row r="10" spans="2:36" s="261" customFormat="1" ht="18" customHeight="1" x14ac:dyDescent="0.25">
      <c r="B10" s="8" t="s">
        <v>52</v>
      </c>
      <c r="D10" s="9" t="str">
        <f>+""&amp;'DADOS DA OBRA'!$B$19&amp;", "&amp;'DADOS DA OBRA'!$J$22&amp;", "&amp;'DADOS DA OBRA'!$P$22</f>
        <v>PRAÇA EDGAR NOGUEIRA, TERESINA, PI</v>
      </c>
      <c r="F10" s="12"/>
      <c r="G10" s="12"/>
      <c r="H10" s="12"/>
      <c r="I10" s="12"/>
      <c r="J10" s="12"/>
      <c r="K10" s="12"/>
      <c r="X10" s="10" t="s">
        <v>70</v>
      </c>
      <c r="Y10" s="294">
        <f>+'CURVA ABC - SERVIÇOS'!J8</f>
        <v>1.1186</v>
      </c>
      <c r="AB10" s="264"/>
      <c r="AC10" s="264"/>
      <c r="AD10" s="264"/>
      <c r="AE10" s="264"/>
      <c r="AF10" s="264"/>
      <c r="AG10" s="264"/>
      <c r="AH10" s="264"/>
      <c r="AI10" s="264"/>
      <c r="AJ10" s="264"/>
    </row>
    <row r="11" spans="2:36" ht="49.7" customHeight="1" x14ac:dyDescent="0.25">
      <c r="B11" s="8" t="s">
        <v>69</v>
      </c>
      <c r="D11" s="522" t="str">
        <f>+'DADOS DA OBRA'!$B$31</f>
        <v>SINAPI - 04/2022 - PIAUÍ 	 SBC - 05/2022 - TSA - Teresina - PI ORSE - 03/2022 - SERGIPE 	 SETOP - 03/2022 - Minas Gerais - Central SUDECAP - 02/2022 - MINAS GERAIS 	 CPOS - 02/2022 - São Paulo AGESUL - 01/2022 - MATO GROSSO DO SUL 	 AGETOP CIVIL - 04/2022 - Goiás EMOP - 04/2022 - RIO DE JANEIRO</v>
      </c>
      <c r="E11" s="522"/>
      <c r="F11" s="522"/>
      <c r="G11" s="522"/>
      <c r="H11" s="522"/>
      <c r="I11" s="522"/>
      <c r="J11" s="522"/>
      <c r="K11" s="522"/>
      <c r="L11" s="522"/>
      <c r="M11" s="522"/>
      <c r="N11" s="522"/>
      <c r="O11" s="522"/>
      <c r="P11" s="522"/>
      <c r="Q11" s="522"/>
      <c r="R11" s="522"/>
      <c r="S11" s="462"/>
      <c r="X11" s="10" t="s">
        <v>71</v>
      </c>
      <c r="Y11" s="294">
        <f>+'CURVA ABC - SERVIÇOS'!J9</f>
        <v>0.70630000000000004</v>
      </c>
      <c r="Z11" s="262"/>
    </row>
    <row r="12" spans="2:36" s="1" customFormat="1" ht="6.95" customHeight="1" x14ac:dyDescent="0.25">
      <c r="I12" s="2"/>
      <c r="J12" s="3"/>
      <c r="K12" s="3"/>
      <c r="L12" s="4"/>
      <c r="M12" s="5"/>
      <c r="N12" s="6"/>
      <c r="AB12" s="266"/>
      <c r="AC12" s="266"/>
      <c r="AD12" s="266"/>
      <c r="AE12" s="266"/>
      <c r="AF12" s="266"/>
      <c r="AG12" s="266"/>
      <c r="AH12" s="266"/>
      <c r="AI12" s="266"/>
      <c r="AJ12" s="266"/>
    </row>
    <row r="13" spans="2:36" ht="24.95" customHeight="1" x14ac:dyDescent="0.25">
      <c r="B13" s="624"/>
      <c r="C13" s="624"/>
      <c r="D13" s="624"/>
      <c r="E13" s="624"/>
      <c r="F13" s="624"/>
      <c r="G13" s="638"/>
      <c r="H13" s="638"/>
      <c r="I13" s="638"/>
      <c r="J13" s="638"/>
      <c r="K13" s="638"/>
      <c r="L13" s="638"/>
      <c r="M13" s="638"/>
      <c r="N13" s="638"/>
      <c r="O13" s="638"/>
      <c r="P13" s="638"/>
      <c r="Q13" s="638"/>
      <c r="R13" s="638"/>
      <c r="S13" s="638"/>
      <c r="T13" s="638"/>
      <c r="U13" s="638"/>
      <c r="V13" s="638"/>
      <c r="W13" s="638"/>
      <c r="X13" s="638"/>
      <c r="Y13" s="638"/>
      <c r="AB13" s="254"/>
      <c r="AC13" s="254"/>
      <c r="AD13" s="254"/>
      <c r="AE13" s="254"/>
    </row>
    <row r="14" spans="2:36" ht="24.95" customHeight="1" x14ac:dyDescent="0.25">
      <c r="B14" s="624" t="s">
        <v>38</v>
      </c>
      <c r="C14" s="624"/>
      <c r="D14" s="624"/>
      <c r="E14" s="624"/>
      <c r="F14" s="624"/>
      <c r="G14" s="626" t="s">
        <v>770</v>
      </c>
      <c r="H14" s="626"/>
      <c r="I14" s="626"/>
      <c r="J14" s="626"/>
      <c r="K14" s="626"/>
      <c r="L14" s="626"/>
      <c r="M14" s="626"/>
      <c r="N14" s="626"/>
      <c r="O14" s="626"/>
      <c r="P14" s="626"/>
      <c r="Q14" s="626"/>
      <c r="R14" s="626"/>
      <c r="S14" s="626"/>
      <c r="T14" s="626"/>
      <c r="U14" s="626"/>
      <c r="V14" s="626"/>
      <c r="W14" s="626"/>
      <c r="X14" s="626"/>
      <c r="Y14" s="626"/>
      <c r="AB14" s="254"/>
      <c r="AC14" s="254"/>
      <c r="AD14" s="254"/>
      <c r="AE14" s="254"/>
    </row>
    <row r="15" spans="2:36" ht="24.95" customHeight="1" x14ac:dyDescent="0.25">
      <c r="B15" s="624" t="s">
        <v>39</v>
      </c>
      <c r="C15" s="624"/>
      <c r="D15" s="624"/>
      <c r="E15" s="624"/>
      <c r="F15" s="624"/>
      <c r="G15" s="626" t="s">
        <v>80</v>
      </c>
      <c r="H15" s="626"/>
      <c r="I15" s="626"/>
      <c r="J15" s="626"/>
      <c r="K15" s="626"/>
      <c r="L15" s="626"/>
      <c r="M15" s="626"/>
      <c r="N15" s="626"/>
      <c r="O15" s="626"/>
      <c r="P15" s="626"/>
      <c r="Q15" s="626"/>
      <c r="R15" s="626"/>
      <c r="S15" s="626"/>
      <c r="T15" s="626"/>
      <c r="U15" s="626"/>
      <c r="V15" s="626"/>
      <c r="W15" s="626"/>
      <c r="X15" s="626"/>
      <c r="Y15" s="626"/>
      <c r="AB15" s="254"/>
      <c r="AC15" s="254"/>
      <c r="AD15" s="254"/>
      <c r="AE15" s="254"/>
    </row>
    <row r="16" spans="2:36" ht="24.95" customHeight="1" x14ac:dyDescent="0.25">
      <c r="B16" s="624" t="s">
        <v>81</v>
      </c>
      <c r="C16" s="624"/>
      <c r="D16" s="624"/>
      <c r="E16" s="624"/>
      <c r="F16" s="624"/>
      <c r="G16" s="625">
        <v>0.6</v>
      </c>
      <c r="H16" s="625"/>
      <c r="I16" s="625"/>
      <c r="J16" s="56" t="s">
        <v>86</v>
      </c>
      <c r="K16" s="55">
        <v>0.03</v>
      </c>
      <c r="L16" s="55"/>
      <c r="M16" s="55"/>
      <c r="N16" s="55"/>
      <c r="O16" s="55"/>
      <c r="P16" s="55"/>
      <c r="Q16" s="55"/>
      <c r="R16" s="55"/>
      <c r="S16" s="55"/>
      <c r="T16" s="55"/>
      <c r="U16" s="55"/>
      <c r="V16" s="55"/>
      <c r="W16" s="55"/>
      <c r="X16" s="55"/>
      <c r="Y16" s="55"/>
      <c r="AB16" s="254"/>
      <c r="AC16" s="254"/>
      <c r="AD16" s="254"/>
      <c r="AE16" s="254"/>
    </row>
    <row r="17" spans="1:47" ht="24.95" customHeight="1" x14ac:dyDescent="0.25">
      <c r="B17" s="267"/>
      <c r="C17" s="267"/>
      <c r="D17" s="267"/>
      <c r="E17" s="267"/>
      <c r="F17" s="267"/>
      <c r="G17" s="267"/>
      <c r="H17" s="267"/>
      <c r="I17" s="267"/>
      <c r="J17" s="267"/>
      <c r="K17" s="267"/>
      <c r="L17" s="267"/>
      <c r="M17" s="267"/>
      <c r="N17" s="267"/>
      <c r="O17" s="267"/>
      <c r="P17" s="267"/>
      <c r="Q17" s="267"/>
      <c r="R17" s="267"/>
      <c r="S17" s="267"/>
      <c r="T17" s="267"/>
      <c r="U17" s="267"/>
      <c r="V17" s="267"/>
      <c r="W17" s="267"/>
      <c r="X17" s="267"/>
      <c r="Y17" s="267"/>
    </row>
    <row r="18" spans="1:47" ht="24.95" customHeight="1" x14ac:dyDescent="0.25">
      <c r="B18" s="267"/>
      <c r="C18" s="267"/>
      <c r="D18" s="267"/>
      <c r="E18" s="267"/>
      <c r="F18" s="267"/>
      <c r="G18" s="267"/>
      <c r="H18" s="267"/>
      <c r="I18" s="267"/>
      <c r="J18" s="267"/>
      <c r="K18" s="267"/>
      <c r="L18" s="267"/>
      <c r="M18" s="267"/>
      <c r="N18" s="267"/>
      <c r="O18" s="267"/>
      <c r="P18" s="267"/>
      <c r="Q18" s="267"/>
      <c r="R18" s="267"/>
      <c r="S18" s="267"/>
      <c r="T18" s="267"/>
      <c r="U18" s="267"/>
      <c r="V18" s="267"/>
      <c r="W18" s="267"/>
      <c r="X18" s="267"/>
      <c r="Y18" s="267"/>
    </row>
    <row r="19" spans="1:47" ht="24.95" customHeight="1" thickBot="1" x14ac:dyDescent="0.3">
      <c r="B19" s="267"/>
      <c r="C19" s="267"/>
      <c r="D19" s="267"/>
      <c r="E19" s="267"/>
      <c r="F19" s="267"/>
      <c r="G19" s="267"/>
      <c r="H19" s="267"/>
      <c r="I19" s="267"/>
      <c r="J19" s="267"/>
      <c r="K19" s="267"/>
      <c r="L19" s="267"/>
      <c r="M19" s="267"/>
      <c r="N19" s="267"/>
      <c r="O19" s="267"/>
      <c r="P19" s="267"/>
      <c r="Q19" s="267"/>
      <c r="R19" s="267"/>
      <c r="S19" s="267"/>
      <c r="T19" s="267"/>
      <c r="U19" s="267"/>
      <c r="V19" s="267"/>
      <c r="W19" s="267"/>
      <c r="X19" s="267"/>
      <c r="Y19" s="267"/>
    </row>
    <row r="20" spans="1:47" ht="24.95" customHeight="1" x14ac:dyDescent="0.25">
      <c r="B20" s="12"/>
      <c r="C20" s="12"/>
      <c r="D20" s="12"/>
      <c r="E20" s="627" t="s">
        <v>82</v>
      </c>
      <c r="F20" s="628"/>
      <c r="G20" s="628"/>
      <c r="H20" s="628"/>
      <c r="I20" s="631" t="s">
        <v>40</v>
      </c>
      <c r="J20" s="631"/>
      <c r="K20" s="631"/>
      <c r="L20" s="632"/>
      <c r="O20" s="268"/>
      <c r="P20" s="620" t="s">
        <v>293</v>
      </c>
      <c r="Q20" s="621"/>
      <c r="R20" s="621"/>
      <c r="S20" s="621"/>
      <c r="T20" s="621"/>
      <c r="U20" s="621"/>
      <c r="V20" s="622"/>
      <c r="W20" s="268"/>
      <c r="X20" s="268"/>
      <c r="Y20" s="268"/>
      <c r="AA20" s="269"/>
      <c r="AB20" s="270"/>
      <c r="AC20" s="270"/>
      <c r="AD20" s="270"/>
      <c r="AM20" s="269"/>
      <c r="AN20" s="269"/>
      <c r="AO20" s="269"/>
      <c r="AP20" s="269"/>
      <c r="AQ20" s="269"/>
      <c r="AR20" s="269"/>
      <c r="AS20" s="269"/>
      <c r="AT20" s="269"/>
      <c r="AU20" s="269"/>
    </row>
    <row r="21" spans="1:47" ht="24.95" customHeight="1" thickBot="1" x14ac:dyDescent="0.3">
      <c r="B21" s="12"/>
      <c r="C21" s="12"/>
      <c r="D21" s="12"/>
      <c r="E21" s="629"/>
      <c r="F21" s="630"/>
      <c r="G21" s="630"/>
      <c r="H21" s="630"/>
      <c r="I21" s="633"/>
      <c r="J21" s="633"/>
      <c r="K21" s="633"/>
      <c r="L21" s="634"/>
      <c r="O21" s="53"/>
      <c r="P21" s="271" t="s">
        <v>294</v>
      </c>
      <c r="Q21" s="53"/>
      <c r="R21" s="53"/>
      <c r="S21" s="53" t="s">
        <v>295</v>
      </c>
      <c r="T21" s="53"/>
      <c r="U21" s="53"/>
      <c r="V21" s="272" t="s">
        <v>296</v>
      </c>
      <c r="W21" s="53"/>
      <c r="X21" s="53"/>
      <c r="Y21" s="53"/>
      <c r="AC21" s="254"/>
      <c r="AD21" s="254"/>
    </row>
    <row r="22" spans="1:47" ht="24.95" customHeight="1" x14ac:dyDescent="0.25">
      <c r="B22" s="12"/>
      <c r="C22" s="12"/>
      <c r="D22" s="12"/>
      <c r="E22" s="273" t="s">
        <v>72</v>
      </c>
      <c r="F22" s="274"/>
      <c r="G22" s="274"/>
      <c r="H22" s="274"/>
      <c r="I22" s="635">
        <v>4</v>
      </c>
      <c r="J22" s="635"/>
      <c r="K22" s="635"/>
      <c r="L22" s="636"/>
      <c r="O22" s="53"/>
      <c r="P22" s="271">
        <v>3</v>
      </c>
      <c r="Q22" s="53"/>
      <c r="R22" s="53"/>
      <c r="S22" s="53">
        <v>4</v>
      </c>
      <c r="T22" s="53"/>
      <c r="U22" s="53"/>
      <c r="V22" s="272">
        <v>5.5</v>
      </c>
      <c r="W22" s="53"/>
      <c r="X22" s="53"/>
      <c r="Y22" s="53"/>
      <c r="AC22" s="254"/>
      <c r="AD22" s="254"/>
    </row>
    <row r="23" spans="1:47" ht="24.95" customHeight="1" x14ac:dyDescent="0.25">
      <c r="B23" s="12"/>
      <c r="C23" s="12"/>
      <c r="D23" s="12"/>
      <c r="E23" s="273" t="s">
        <v>73</v>
      </c>
      <c r="F23" s="274"/>
      <c r="G23" s="274"/>
      <c r="H23" s="274"/>
      <c r="I23" s="616">
        <v>0.8</v>
      </c>
      <c r="J23" s="616"/>
      <c r="K23" s="616"/>
      <c r="L23" s="617"/>
      <c r="O23" s="53"/>
      <c r="P23" s="271">
        <v>0.8</v>
      </c>
      <c r="Q23" s="53"/>
      <c r="R23" s="53"/>
      <c r="S23" s="53">
        <v>0.8</v>
      </c>
      <c r="T23" s="53"/>
      <c r="U23" s="53"/>
      <c r="V23" s="272">
        <v>1</v>
      </c>
      <c r="W23" s="53"/>
      <c r="X23" s="53"/>
      <c r="Y23" s="53"/>
      <c r="AC23" s="254"/>
      <c r="AD23" s="254"/>
    </row>
    <row r="24" spans="1:47" ht="24.95" customHeight="1" x14ac:dyDescent="0.25">
      <c r="B24" s="12"/>
      <c r="C24" s="12"/>
      <c r="D24" s="12"/>
      <c r="E24" s="273" t="s">
        <v>74</v>
      </c>
      <c r="F24" s="274"/>
      <c r="G24" s="274"/>
      <c r="H24" s="274"/>
      <c r="I24" s="616">
        <v>1.27</v>
      </c>
      <c r="J24" s="616"/>
      <c r="K24" s="616"/>
      <c r="L24" s="617"/>
      <c r="O24" s="53"/>
      <c r="P24" s="271">
        <v>0.97</v>
      </c>
      <c r="Q24" s="53"/>
      <c r="R24" s="53"/>
      <c r="S24" s="53">
        <v>1.27</v>
      </c>
      <c r="T24" s="53"/>
      <c r="U24" s="53"/>
      <c r="V24" s="272">
        <v>1.27</v>
      </c>
      <c r="W24" s="53"/>
      <c r="X24" s="53"/>
      <c r="Y24" s="53"/>
      <c r="AC24" s="254"/>
      <c r="AD24" s="254"/>
    </row>
    <row r="25" spans="1:47" ht="24.95" customHeight="1" x14ac:dyDescent="0.25">
      <c r="B25" s="12"/>
      <c r="C25" s="12"/>
      <c r="D25" s="12"/>
      <c r="E25" s="273" t="s">
        <v>75</v>
      </c>
      <c r="F25" s="274"/>
      <c r="G25" s="274"/>
      <c r="H25" s="274"/>
      <c r="I25" s="616">
        <v>1.23</v>
      </c>
      <c r="J25" s="616"/>
      <c r="K25" s="616"/>
      <c r="L25" s="617"/>
      <c r="O25" s="53"/>
      <c r="P25" s="271">
        <v>0.59</v>
      </c>
      <c r="Q25" s="53"/>
      <c r="R25" s="53"/>
      <c r="S25" s="53">
        <v>1.23</v>
      </c>
      <c r="T25" s="53"/>
      <c r="U25" s="53"/>
      <c r="V25" s="272">
        <v>1.39</v>
      </c>
      <c r="W25" s="53"/>
      <c r="X25" s="53"/>
      <c r="Y25" s="53"/>
      <c r="AC25" s="254"/>
      <c r="AD25" s="254"/>
    </row>
    <row r="26" spans="1:47" ht="24.95" customHeight="1" x14ac:dyDescent="0.25">
      <c r="B26" s="12"/>
      <c r="C26" s="12"/>
      <c r="D26" s="12"/>
      <c r="E26" s="273" t="s">
        <v>76</v>
      </c>
      <c r="F26" s="274"/>
      <c r="G26" s="274"/>
      <c r="H26" s="274"/>
      <c r="I26" s="616">
        <v>7.4</v>
      </c>
      <c r="J26" s="616"/>
      <c r="K26" s="616"/>
      <c r="L26" s="617"/>
      <c r="O26" s="53"/>
      <c r="P26" s="271">
        <v>6.16</v>
      </c>
      <c r="Q26" s="53"/>
      <c r="R26" s="53"/>
      <c r="S26" s="53">
        <v>7.4</v>
      </c>
      <c r="T26" s="53"/>
      <c r="U26" s="53"/>
      <c r="V26" s="272">
        <v>8.9600000000000009</v>
      </c>
      <c r="W26" s="53"/>
      <c r="X26" s="53"/>
      <c r="Y26" s="53"/>
      <c r="Z26" s="296"/>
      <c r="AA26" s="297"/>
      <c r="AB26" s="275"/>
      <c r="AC26" s="254"/>
      <c r="AD26" s="254"/>
    </row>
    <row r="27" spans="1:47" ht="24.95" customHeight="1" x14ac:dyDescent="0.25">
      <c r="B27" s="12"/>
      <c r="C27" s="12"/>
      <c r="D27" s="12"/>
      <c r="E27" s="273" t="s">
        <v>77</v>
      </c>
      <c r="F27" s="274"/>
      <c r="G27" s="274"/>
      <c r="H27" s="274"/>
      <c r="I27" s="616">
        <v>0.65</v>
      </c>
      <c r="J27" s="616"/>
      <c r="K27" s="616"/>
      <c r="L27" s="617"/>
      <c r="O27" s="53"/>
      <c r="P27" s="271">
        <v>0.65</v>
      </c>
      <c r="Q27" s="53"/>
      <c r="R27" s="53"/>
      <c r="S27" s="53">
        <v>0.65</v>
      </c>
      <c r="T27" s="53"/>
      <c r="U27" s="53"/>
      <c r="V27" s="272">
        <v>0.65</v>
      </c>
      <c r="W27" s="53"/>
      <c r="X27" s="53"/>
      <c r="Y27" s="53"/>
      <c r="AC27" s="254"/>
      <c r="AD27" s="254"/>
    </row>
    <row r="28" spans="1:47" ht="24.95" customHeight="1" x14ac:dyDescent="0.25">
      <c r="B28" s="12"/>
      <c r="C28" s="12"/>
      <c r="D28" s="12"/>
      <c r="E28" s="273" t="s">
        <v>78</v>
      </c>
      <c r="F28" s="274"/>
      <c r="G28" s="274"/>
      <c r="H28" s="274"/>
      <c r="I28" s="616">
        <v>3</v>
      </c>
      <c r="J28" s="616"/>
      <c r="K28" s="616"/>
      <c r="L28" s="617"/>
      <c r="O28" s="53"/>
      <c r="P28" s="271">
        <v>3</v>
      </c>
      <c r="Q28" s="53"/>
      <c r="R28" s="53"/>
      <c r="S28" s="53">
        <v>3</v>
      </c>
      <c r="T28" s="53"/>
      <c r="U28" s="53"/>
      <c r="V28" s="272">
        <v>3</v>
      </c>
      <c r="W28" s="53"/>
      <c r="X28" s="53"/>
      <c r="Y28" s="53"/>
      <c r="AC28" s="254"/>
      <c r="AD28" s="254"/>
    </row>
    <row r="29" spans="1:47" ht="24.95" customHeight="1" thickBot="1" x14ac:dyDescent="0.3">
      <c r="B29" s="12"/>
      <c r="C29" s="12"/>
      <c r="D29" s="12"/>
      <c r="E29" s="273" t="s">
        <v>79</v>
      </c>
      <c r="F29" s="274"/>
      <c r="G29" s="274"/>
      <c r="H29" s="274"/>
      <c r="I29" s="616">
        <v>1.8</v>
      </c>
      <c r="J29" s="616"/>
      <c r="K29" s="616"/>
      <c r="L29" s="617"/>
      <c r="O29" s="53"/>
      <c r="P29" s="276">
        <v>2</v>
      </c>
      <c r="Q29" s="277"/>
      <c r="R29" s="277"/>
      <c r="S29" s="277">
        <v>2</v>
      </c>
      <c r="T29" s="277"/>
      <c r="U29" s="277"/>
      <c r="V29" s="278">
        <v>5</v>
      </c>
      <c r="W29" s="53"/>
      <c r="X29" s="53"/>
      <c r="Y29" s="53"/>
      <c r="AC29" s="254"/>
      <c r="AD29" s="254"/>
    </row>
    <row r="30" spans="1:47" ht="24.95" customHeight="1" thickBot="1" x14ac:dyDescent="0.3">
      <c r="B30" s="12"/>
      <c r="C30" s="12"/>
      <c r="D30" s="12"/>
      <c r="E30" s="273" t="s">
        <v>83</v>
      </c>
      <c r="F30" s="274"/>
      <c r="G30" s="274"/>
      <c r="H30" s="274"/>
      <c r="I30" s="616"/>
      <c r="J30" s="616"/>
      <c r="K30" s="616"/>
      <c r="L30" s="617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AB30" s="279"/>
      <c r="AC30" s="254"/>
      <c r="AD30" s="254"/>
      <c r="AE30" s="254"/>
      <c r="AF30" s="254"/>
      <c r="AG30" s="254"/>
      <c r="AH30" s="254"/>
      <c r="AI30" s="254"/>
      <c r="AJ30" s="254"/>
    </row>
    <row r="31" spans="1:47" ht="24.95" customHeight="1" thickBot="1" x14ac:dyDescent="0.3">
      <c r="A31" s="54"/>
      <c r="B31" s="292"/>
      <c r="C31" s="280"/>
      <c r="D31" s="281"/>
      <c r="E31" s="282" t="s">
        <v>41</v>
      </c>
      <c r="F31" s="283"/>
      <c r="G31" s="283"/>
      <c r="H31" s="283"/>
      <c r="I31" s="618">
        <f>TRUNC((((((1+I22/100+I23/100+I24/100)*(1+I25/100)*(1+I26/100))/(1-(I27/100+I28/100+I29/100+I30/100)))-1)*100),2)</f>
        <v>21.96</v>
      </c>
      <c r="J31" s="618"/>
      <c r="K31" s="618"/>
      <c r="L31" s="619"/>
      <c r="M31" s="284"/>
      <c r="N31" s="284"/>
      <c r="O31" s="284"/>
      <c r="P31" s="620" t="s">
        <v>297</v>
      </c>
      <c r="Q31" s="621"/>
      <c r="R31" s="621"/>
      <c r="S31" s="621"/>
      <c r="T31" s="621"/>
      <c r="U31" s="621"/>
      <c r="V31" s="622"/>
      <c r="W31" s="284"/>
      <c r="X31" s="284"/>
      <c r="Y31" s="12"/>
      <c r="Z31" s="54"/>
      <c r="AB31" s="285"/>
      <c r="AC31" s="285"/>
      <c r="AD31" s="285"/>
      <c r="AE31" s="285"/>
      <c r="AF31" s="285"/>
      <c r="AG31" s="285"/>
      <c r="AH31" s="285"/>
      <c r="AI31" s="285"/>
      <c r="AJ31" s="285"/>
    </row>
    <row r="32" spans="1:47" ht="24.95" customHeight="1" thickBot="1" x14ac:dyDescent="0.3">
      <c r="A32" s="54"/>
      <c r="B32" s="292"/>
      <c r="C32" s="280"/>
      <c r="D32" s="281"/>
      <c r="E32" s="281"/>
      <c r="F32" s="281"/>
      <c r="G32" s="281"/>
      <c r="H32" s="281"/>
      <c r="I32" s="281"/>
      <c r="J32" s="281"/>
      <c r="K32" s="284"/>
      <c r="L32" s="284"/>
      <c r="M32" s="284"/>
      <c r="N32" s="284"/>
      <c r="O32" s="284"/>
      <c r="P32" s="276">
        <v>20.34</v>
      </c>
      <c r="Q32" s="277"/>
      <c r="R32" s="277"/>
      <c r="S32" s="277">
        <v>22.12</v>
      </c>
      <c r="T32" s="277"/>
      <c r="U32" s="277"/>
      <c r="V32" s="278">
        <v>25</v>
      </c>
      <c r="W32" s="284"/>
      <c r="X32" s="284"/>
      <c r="Y32" s="12"/>
      <c r="Z32" s="54"/>
      <c r="AB32" s="285"/>
      <c r="AC32" s="285"/>
      <c r="AD32" s="285"/>
      <c r="AE32" s="285"/>
      <c r="AF32" s="285"/>
      <c r="AG32" s="285"/>
      <c r="AH32" s="285"/>
      <c r="AI32" s="285"/>
      <c r="AJ32" s="285"/>
    </row>
    <row r="33" spans="1:36" ht="24.95" customHeight="1" x14ac:dyDescent="0.25">
      <c r="A33" s="54"/>
      <c r="B33" s="292"/>
      <c r="C33" s="280"/>
      <c r="D33" s="281"/>
      <c r="E33" s="281"/>
      <c r="F33" s="281"/>
      <c r="G33" s="281"/>
      <c r="H33" s="281"/>
      <c r="I33" s="281"/>
      <c r="J33" s="281"/>
      <c r="K33" s="284"/>
      <c r="L33" s="284"/>
      <c r="M33" s="284"/>
      <c r="N33" s="284"/>
      <c r="O33" s="284"/>
      <c r="P33" s="614"/>
      <c r="Q33" s="614"/>
      <c r="R33" s="614"/>
      <c r="S33" s="614"/>
      <c r="T33" s="614"/>
      <c r="U33" s="614"/>
      <c r="V33" s="614"/>
      <c r="W33" s="284"/>
      <c r="X33" s="284"/>
      <c r="Y33" s="12"/>
      <c r="Z33" s="54"/>
      <c r="AB33" s="285"/>
      <c r="AC33" s="285"/>
      <c r="AD33" s="285"/>
      <c r="AE33" s="285"/>
      <c r="AF33" s="285"/>
      <c r="AG33" s="285"/>
      <c r="AH33" s="285"/>
      <c r="AI33" s="285"/>
      <c r="AJ33" s="285"/>
    </row>
    <row r="34" spans="1:36" ht="24.95" customHeight="1" x14ac:dyDescent="0.25">
      <c r="B34" s="623" t="s">
        <v>84</v>
      </c>
      <c r="C34" s="623"/>
      <c r="D34" s="623"/>
      <c r="E34" s="623"/>
      <c r="F34" s="623"/>
      <c r="G34" s="623"/>
      <c r="H34" s="623"/>
      <c r="I34" s="623"/>
      <c r="J34" s="623"/>
      <c r="K34" s="623"/>
      <c r="L34" s="623"/>
      <c r="M34" s="623"/>
      <c r="N34" s="623"/>
      <c r="O34" s="623"/>
      <c r="P34" s="623"/>
      <c r="Q34" s="623"/>
      <c r="R34" s="623"/>
      <c r="S34" s="623"/>
      <c r="T34" s="623"/>
      <c r="U34" s="623"/>
      <c r="V34" s="623"/>
      <c r="W34" s="623"/>
      <c r="X34" s="623"/>
      <c r="Y34" s="623"/>
      <c r="AB34" s="254"/>
      <c r="AC34" s="254"/>
      <c r="AD34" s="286"/>
      <c r="AE34" s="287"/>
      <c r="AF34" s="254"/>
      <c r="AG34" s="254"/>
      <c r="AH34" s="254"/>
      <c r="AI34" s="254"/>
      <c r="AJ34" s="254"/>
    </row>
    <row r="35" spans="1:36" ht="24.95" customHeight="1" x14ac:dyDescent="0.25">
      <c r="B35" s="615"/>
      <c r="C35" s="615"/>
      <c r="D35" s="615"/>
      <c r="E35" s="615"/>
      <c r="F35" s="615"/>
      <c r="G35" s="615"/>
      <c r="H35" s="615"/>
      <c r="I35" s="615"/>
      <c r="J35" s="615"/>
      <c r="K35" s="615"/>
      <c r="L35" s="615"/>
      <c r="M35" s="615"/>
      <c r="N35" s="615"/>
      <c r="O35" s="615"/>
      <c r="P35" s="615"/>
      <c r="Q35" s="615"/>
      <c r="R35" s="615"/>
      <c r="S35" s="615"/>
      <c r="T35" s="615"/>
      <c r="U35" s="615"/>
      <c r="V35" s="615"/>
      <c r="W35" s="615"/>
      <c r="X35" s="615"/>
      <c r="Y35" s="615"/>
      <c r="AB35" s="254"/>
      <c r="AC35" s="254"/>
      <c r="AD35" s="254"/>
      <c r="AE35" s="254"/>
      <c r="AF35" s="254"/>
      <c r="AG35" s="254"/>
      <c r="AH35" s="254"/>
      <c r="AI35" s="254"/>
      <c r="AJ35" s="254"/>
    </row>
    <row r="36" spans="1:36" ht="24.95" customHeight="1" x14ac:dyDescent="0.25">
      <c r="B36" s="612" t="s">
        <v>85</v>
      </c>
      <c r="C36" s="612"/>
      <c r="D36" s="612"/>
      <c r="E36" s="612"/>
      <c r="F36" s="612"/>
      <c r="G36" s="612"/>
      <c r="H36" s="612"/>
      <c r="I36" s="612"/>
      <c r="J36" s="612"/>
      <c r="K36" s="612"/>
      <c r="L36" s="612"/>
      <c r="M36" s="612"/>
      <c r="N36" s="612"/>
      <c r="O36" s="612"/>
      <c r="P36" s="612"/>
      <c r="Q36" s="612"/>
      <c r="R36" s="612"/>
      <c r="S36" s="612"/>
      <c r="T36" s="612"/>
      <c r="U36" s="612"/>
      <c r="V36" s="612"/>
      <c r="W36" s="612"/>
      <c r="X36" s="612"/>
      <c r="Y36" s="612"/>
      <c r="AB36" s="254"/>
      <c r="AC36" s="254"/>
      <c r="AD36" s="286"/>
      <c r="AE36" s="254"/>
      <c r="AF36" s="254"/>
      <c r="AG36" s="254"/>
      <c r="AH36" s="254"/>
      <c r="AI36" s="254"/>
      <c r="AJ36" s="254"/>
    </row>
    <row r="37" spans="1:36" ht="24.95" customHeight="1" x14ac:dyDescent="0.25">
      <c r="B37" s="613"/>
      <c r="C37" s="613"/>
      <c r="D37" s="613"/>
      <c r="E37" s="613"/>
      <c r="F37" s="613"/>
      <c r="G37" s="613"/>
      <c r="H37" s="613"/>
      <c r="I37" s="613"/>
      <c r="J37" s="613"/>
      <c r="K37" s="613"/>
      <c r="L37" s="613"/>
      <c r="M37" s="613"/>
      <c r="N37" s="613"/>
      <c r="O37" s="613"/>
      <c r="P37" s="613"/>
      <c r="Q37" s="613"/>
      <c r="R37" s="613"/>
      <c r="S37" s="613"/>
      <c r="T37" s="613"/>
      <c r="U37" s="613"/>
      <c r="V37" s="613"/>
      <c r="W37" s="613"/>
      <c r="X37" s="613"/>
      <c r="Y37" s="613"/>
      <c r="AB37" s="254"/>
      <c r="AC37" s="254"/>
      <c r="AD37" s="254"/>
      <c r="AE37" s="254"/>
      <c r="AF37" s="254"/>
      <c r="AG37" s="254"/>
      <c r="AH37" s="254"/>
      <c r="AI37" s="254"/>
      <c r="AJ37" s="254"/>
    </row>
    <row r="38" spans="1:36" ht="24.95" customHeight="1" x14ac:dyDescent="0.25">
      <c r="B38" s="293"/>
      <c r="C38" s="293"/>
      <c r="D38" s="293"/>
      <c r="E38" s="293"/>
      <c r="F38" s="293"/>
      <c r="G38" s="293"/>
      <c r="H38" s="293"/>
      <c r="I38" s="293"/>
      <c r="J38" s="293"/>
      <c r="K38" s="293"/>
      <c r="L38" s="293"/>
      <c r="M38" s="293"/>
      <c r="N38" s="293"/>
      <c r="O38" s="293"/>
      <c r="P38" s="293"/>
      <c r="Q38" s="293"/>
      <c r="R38" s="293"/>
      <c r="S38" s="293"/>
      <c r="T38" s="293"/>
      <c r="U38" s="293"/>
      <c r="V38" s="293"/>
      <c r="W38" s="293"/>
      <c r="X38" s="293"/>
      <c r="Y38" s="293"/>
    </row>
    <row r="39" spans="1:36" ht="24.95" customHeight="1" x14ac:dyDescent="0.25">
      <c r="A39" s="54"/>
      <c r="B39" s="292" t="s">
        <v>87</v>
      </c>
      <c r="C39" s="288"/>
      <c r="D39" s="288"/>
      <c r="E39" s="288"/>
      <c r="F39" s="288"/>
      <c r="G39" s="288"/>
      <c r="H39" s="288"/>
      <c r="I39" s="288"/>
      <c r="J39" s="280"/>
      <c r="K39" s="280"/>
      <c r="L39" s="280"/>
      <c r="M39" s="289"/>
      <c r="N39" s="289"/>
      <c r="O39" s="289"/>
      <c r="P39" s="290"/>
      <c r="Q39" s="290"/>
      <c r="R39" s="290"/>
      <c r="S39" s="290"/>
      <c r="T39" s="290"/>
      <c r="U39" s="290"/>
      <c r="V39" s="290"/>
      <c r="W39" s="290"/>
      <c r="X39" s="290"/>
      <c r="Y39" s="290"/>
      <c r="Z39" s="54"/>
    </row>
    <row r="40" spans="1:36" ht="24.95" customHeight="1" x14ac:dyDescent="0.25">
      <c r="A40" s="54"/>
      <c r="B40" s="292" t="s">
        <v>88</v>
      </c>
      <c r="C40" s="280"/>
      <c r="D40" s="281"/>
      <c r="E40" s="281"/>
      <c r="F40" s="281"/>
      <c r="G40" s="281"/>
      <c r="H40" s="281"/>
      <c r="I40" s="281"/>
      <c r="J40" s="281"/>
      <c r="K40" s="284"/>
      <c r="L40" s="284"/>
      <c r="M40" s="284"/>
      <c r="N40" s="284"/>
      <c r="O40" s="284"/>
      <c r="P40" s="284"/>
      <c r="Q40" s="284"/>
      <c r="R40" s="284"/>
      <c r="S40" s="284"/>
      <c r="T40" s="284"/>
      <c r="U40" s="284"/>
      <c r="V40" s="284"/>
      <c r="W40" s="284"/>
      <c r="X40" s="284"/>
      <c r="Y40" s="12"/>
      <c r="Z40" s="54"/>
      <c r="AB40" s="285"/>
      <c r="AC40" s="285"/>
      <c r="AD40" s="285"/>
      <c r="AE40" s="285"/>
      <c r="AF40" s="285"/>
      <c r="AG40" s="285"/>
      <c r="AH40" s="285"/>
      <c r="AI40" s="285"/>
      <c r="AJ40" s="285"/>
    </row>
    <row r="41" spans="1:36" ht="24.95" customHeight="1" x14ac:dyDescent="0.25">
      <c r="A41" s="54"/>
      <c r="B41" s="292" t="s">
        <v>89</v>
      </c>
      <c r="C41" s="280"/>
      <c r="D41" s="281"/>
      <c r="E41" s="281"/>
      <c r="F41" s="281"/>
      <c r="G41" s="281"/>
      <c r="H41" s="281"/>
      <c r="I41" s="281"/>
      <c r="J41" s="281"/>
      <c r="K41" s="284"/>
      <c r="L41" s="284"/>
      <c r="M41" s="284"/>
      <c r="N41" s="284"/>
      <c r="O41" s="284"/>
      <c r="P41" s="284"/>
      <c r="Q41" s="284"/>
      <c r="R41" s="284"/>
      <c r="S41" s="284"/>
      <c r="T41" s="284"/>
      <c r="U41" s="284"/>
      <c r="V41" s="284"/>
      <c r="W41" s="284"/>
      <c r="X41" s="284"/>
      <c r="Y41" s="12"/>
      <c r="Z41" s="54"/>
      <c r="AB41" s="285"/>
      <c r="AC41" s="285"/>
      <c r="AD41" s="285"/>
      <c r="AE41" s="285"/>
      <c r="AF41" s="285"/>
      <c r="AG41" s="285"/>
      <c r="AH41" s="285"/>
      <c r="AI41" s="285"/>
      <c r="AJ41" s="285"/>
    </row>
    <row r="42" spans="1:36" ht="24.95" customHeight="1" x14ac:dyDescent="0.25">
      <c r="A42" s="54"/>
      <c r="B42" s="292" t="s">
        <v>90</v>
      </c>
      <c r="C42" s="288"/>
      <c r="D42" s="288"/>
      <c r="E42" s="288"/>
      <c r="F42" s="288"/>
      <c r="G42" s="288"/>
      <c r="H42" s="288"/>
      <c r="I42" s="288"/>
      <c r="J42" s="280"/>
      <c r="K42" s="280"/>
      <c r="L42" s="280"/>
      <c r="M42" s="289"/>
      <c r="N42" s="289"/>
      <c r="O42" s="289"/>
      <c r="P42" s="290"/>
      <c r="Q42" s="290"/>
      <c r="R42" s="290"/>
      <c r="S42" s="290"/>
      <c r="T42" s="290"/>
      <c r="U42" s="290"/>
      <c r="V42" s="290"/>
      <c r="W42" s="290"/>
      <c r="X42" s="290"/>
      <c r="Y42" s="290"/>
      <c r="Z42" s="54"/>
    </row>
    <row r="43" spans="1:36" ht="24.95" customHeight="1" x14ac:dyDescent="0.25">
      <c r="A43" s="54"/>
      <c r="B43" s="292" t="s">
        <v>91</v>
      </c>
      <c r="C43" s="280"/>
      <c r="D43" s="281"/>
      <c r="E43" s="281"/>
      <c r="F43" s="281"/>
      <c r="G43" s="281"/>
      <c r="H43" s="281"/>
      <c r="I43" s="281"/>
      <c r="J43" s="281"/>
      <c r="K43" s="284"/>
      <c r="L43" s="284"/>
      <c r="M43" s="284"/>
      <c r="N43" s="284"/>
      <c r="O43" s="284"/>
      <c r="P43" s="284"/>
      <c r="Q43" s="284"/>
      <c r="R43" s="284"/>
      <c r="S43" s="284"/>
      <c r="T43" s="284"/>
      <c r="U43" s="284"/>
      <c r="V43" s="284"/>
      <c r="W43" s="284"/>
      <c r="X43" s="284"/>
      <c r="Y43" s="12"/>
      <c r="Z43" s="54"/>
      <c r="AB43" s="285"/>
      <c r="AC43" s="285"/>
      <c r="AD43" s="285"/>
      <c r="AE43" s="285"/>
      <c r="AF43" s="285"/>
      <c r="AG43" s="285"/>
      <c r="AH43" s="285"/>
      <c r="AI43" s="285"/>
      <c r="AJ43" s="285"/>
    </row>
    <row r="44" spans="1:36" ht="24.95" customHeight="1" x14ac:dyDescent="0.25">
      <c r="A44" s="54"/>
      <c r="B44" s="292" t="s">
        <v>92</v>
      </c>
      <c r="C44" s="280"/>
      <c r="D44" s="281"/>
      <c r="E44" s="281"/>
      <c r="F44" s="281"/>
      <c r="G44" s="281"/>
      <c r="H44" s="281"/>
      <c r="I44" s="281"/>
      <c r="J44" s="281"/>
      <c r="K44" s="284"/>
      <c r="L44" s="284"/>
      <c r="M44" s="284"/>
      <c r="N44" s="284"/>
      <c r="O44" s="284"/>
      <c r="P44" s="284"/>
      <c r="Q44" s="284"/>
      <c r="R44" s="284"/>
      <c r="S44" s="284"/>
      <c r="T44" s="284"/>
      <c r="U44" s="284"/>
      <c r="V44" s="284"/>
      <c r="W44" s="284"/>
      <c r="X44" s="284"/>
      <c r="Y44" s="12"/>
      <c r="Z44" s="54"/>
      <c r="AB44" s="285"/>
      <c r="AC44" s="285"/>
      <c r="AD44" s="285"/>
      <c r="AE44" s="285"/>
      <c r="AF44" s="285"/>
      <c r="AG44" s="285"/>
      <c r="AH44" s="285"/>
      <c r="AI44" s="285"/>
      <c r="AJ44" s="285"/>
    </row>
    <row r="45" spans="1:36" ht="24.95" customHeight="1" x14ac:dyDescent="0.25">
      <c r="A45" s="54"/>
      <c r="B45" s="280"/>
      <c r="C45" s="280"/>
      <c r="D45" s="281"/>
      <c r="E45" s="281"/>
      <c r="F45" s="281"/>
      <c r="G45" s="281"/>
      <c r="H45" s="281"/>
      <c r="I45" s="281"/>
      <c r="J45" s="281"/>
      <c r="K45" s="284"/>
      <c r="L45" s="284"/>
      <c r="M45" s="284"/>
      <c r="N45" s="284"/>
      <c r="O45" s="284"/>
      <c r="P45" s="284"/>
      <c r="Q45" s="284"/>
      <c r="R45" s="284"/>
      <c r="S45" s="284"/>
      <c r="T45" s="284"/>
      <c r="U45" s="284"/>
      <c r="V45" s="284"/>
      <c r="W45" s="284"/>
      <c r="X45" s="284"/>
      <c r="Y45" s="12"/>
      <c r="Z45" s="54"/>
      <c r="AB45" s="285"/>
      <c r="AC45" s="285"/>
      <c r="AD45" s="285"/>
      <c r="AE45" s="285"/>
      <c r="AF45" s="285"/>
      <c r="AG45" s="285"/>
      <c r="AH45" s="285"/>
      <c r="AI45" s="285"/>
      <c r="AJ45" s="285"/>
    </row>
    <row r="46" spans="1:36" s="54" customFormat="1" ht="24.95" customHeight="1" x14ac:dyDescent="0.25">
      <c r="B46" s="595" t="s">
        <v>42</v>
      </c>
      <c r="C46" s="595"/>
      <c r="D46" s="595"/>
      <c r="E46" s="595"/>
      <c r="F46" s="595"/>
      <c r="G46" s="595"/>
      <c r="H46" s="595"/>
      <c r="I46" s="595"/>
      <c r="J46" s="595"/>
      <c r="K46" s="595"/>
      <c r="L46" s="595"/>
      <c r="M46" s="595"/>
      <c r="N46" s="595"/>
      <c r="O46" s="595"/>
      <c r="P46" s="595"/>
      <c r="Q46" s="595"/>
      <c r="R46" s="595"/>
      <c r="S46" s="595"/>
      <c r="T46" s="595"/>
      <c r="U46" s="595"/>
      <c r="V46" s="595"/>
      <c r="W46" s="595"/>
      <c r="X46" s="595"/>
      <c r="Y46" s="595"/>
      <c r="Z46" s="295"/>
      <c r="AB46" s="291"/>
      <c r="AC46" s="291"/>
      <c r="AD46" s="291"/>
      <c r="AE46" s="291"/>
      <c r="AF46" s="291"/>
      <c r="AG46" s="291"/>
      <c r="AH46" s="291"/>
      <c r="AI46" s="291"/>
      <c r="AJ46" s="291"/>
    </row>
    <row r="47" spans="1:36" s="54" customFormat="1" ht="24.95" customHeight="1" x14ac:dyDescent="0.25">
      <c r="B47" s="613" t="str">
        <f>"Declaro para os devidos fins que, conforme legislação tributária do município de "&amp;G14&amp;", a base de cálculo do ISS para "&amp;G15&amp;", é de "&amp;(G16*100)&amp;"%, com a respectiva alíquota de "&amp;ROUND(K16*100,2)&amp;"% sobre o valor da mão de obra."</f>
        <v>Declaro para os devidos fins que, conforme legislação tributária do município de TERESINA - PI, a base de cálculo do ISS para Construção de Edifícios e Reformas (Quadras, unidades habitacionais, escolas, restaurantes, etc), é de 60%, com a respectiva alíquota de 3% sobre o valor da mão de obra.</v>
      </c>
      <c r="C47" s="613"/>
      <c r="D47" s="613"/>
      <c r="E47" s="613"/>
      <c r="F47" s="613"/>
      <c r="G47" s="613"/>
      <c r="H47" s="613"/>
      <c r="I47" s="613"/>
      <c r="J47" s="613"/>
      <c r="K47" s="613"/>
      <c r="L47" s="613"/>
      <c r="M47" s="613"/>
      <c r="N47" s="613"/>
      <c r="O47" s="613"/>
      <c r="P47" s="613"/>
      <c r="Q47" s="613"/>
      <c r="R47" s="613"/>
      <c r="S47" s="613"/>
      <c r="T47" s="613"/>
      <c r="U47" s="613"/>
      <c r="V47" s="613"/>
      <c r="W47" s="613"/>
      <c r="X47" s="613"/>
      <c r="Y47" s="613"/>
      <c r="Z47" s="295"/>
      <c r="AB47" s="291"/>
      <c r="AC47" s="291"/>
      <c r="AD47" s="291"/>
      <c r="AE47" s="291"/>
      <c r="AF47" s="291"/>
      <c r="AG47" s="291"/>
      <c r="AH47" s="291"/>
      <c r="AI47" s="291"/>
      <c r="AJ47" s="291"/>
    </row>
    <row r="48" spans="1:36" s="54" customFormat="1" ht="24.95" customHeight="1" x14ac:dyDescent="0.25">
      <c r="B48" s="613"/>
      <c r="C48" s="613"/>
      <c r="D48" s="613"/>
      <c r="E48" s="613"/>
      <c r="F48" s="613"/>
      <c r="G48" s="613"/>
      <c r="H48" s="613"/>
      <c r="I48" s="613"/>
      <c r="J48" s="613"/>
      <c r="K48" s="613"/>
      <c r="L48" s="613"/>
      <c r="M48" s="613"/>
      <c r="N48" s="613"/>
      <c r="O48" s="613"/>
      <c r="P48" s="613"/>
      <c r="Q48" s="613"/>
      <c r="R48" s="613"/>
      <c r="S48" s="613"/>
      <c r="T48" s="613"/>
      <c r="U48" s="613"/>
      <c r="V48" s="613"/>
      <c r="W48" s="613"/>
      <c r="X48" s="613"/>
      <c r="Y48" s="613"/>
      <c r="Z48" s="295"/>
      <c r="AB48" s="291"/>
      <c r="AC48" s="291"/>
      <c r="AD48" s="291"/>
      <c r="AE48" s="291"/>
      <c r="AF48" s="291"/>
      <c r="AG48" s="291"/>
      <c r="AH48" s="291"/>
      <c r="AI48" s="291"/>
      <c r="AJ48" s="291"/>
    </row>
    <row r="49" spans="2:36" s="54" customFormat="1" ht="24.95" customHeight="1" x14ac:dyDescent="0.25">
      <c r="B49" s="613"/>
      <c r="C49" s="613"/>
      <c r="D49" s="613"/>
      <c r="E49" s="613"/>
      <c r="F49" s="613"/>
      <c r="G49" s="613"/>
      <c r="H49" s="613"/>
      <c r="I49" s="613"/>
      <c r="J49" s="613"/>
      <c r="K49" s="613"/>
      <c r="L49" s="613"/>
      <c r="M49" s="613"/>
      <c r="N49" s="613"/>
      <c r="O49" s="613"/>
      <c r="P49" s="613"/>
      <c r="Q49" s="613"/>
      <c r="R49" s="613"/>
      <c r="S49" s="613"/>
      <c r="T49" s="613"/>
      <c r="U49" s="613"/>
      <c r="V49" s="613"/>
      <c r="W49" s="613"/>
      <c r="X49" s="613"/>
      <c r="Y49" s="613"/>
      <c r="Z49" s="295"/>
      <c r="AB49" s="291"/>
      <c r="AC49" s="291"/>
      <c r="AD49" s="291"/>
      <c r="AE49" s="291"/>
      <c r="AF49" s="291"/>
      <c r="AG49" s="291"/>
      <c r="AH49" s="291"/>
      <c r="AI49" s="291"/>
      <c r="AJ49" s="291"/>
    </row>
    <row r="50" spans="2:36" s="54" customFormat="1" ht="24.95" customHeight="1" x14ac:dyDescent="0.25">
      <c r="B50" s="290"/>
      <c r="C50" s="290"/>
      <c r="D50" s="290"/>
      <c r="E50" s="290"/>
      <c r="F50" s="290"/>
      <c r="G50" s="290"/>
      <c r="H50" s="290"/>
      <c r="I50" s="290"/>
      <c r="J50" s="290"/>
      <c r="K50" s="290"/>
      <c r="L50" s="290"/>
      <c r="M50" s="290"/>
      <c r="N50" s="290"/>
      <c r="O50" s="290"/>
      <c r="P50" s="290"/>
      <c r="Q50" s="290"/>
      <c r="R50" s="290"/>
      <c r="S50" s="290"/>
      <c r="T50" s="290"/>
      <c r="U50" s="290"/>
      <c r="V50" s="290"/>
      <c r="W50" s="290"/>
      <c r="X50" s="290"/>
      <c r="Y50" s="290"/>
      <c r="Z50" s="295"/>
      <c r="AB50" s="291"/>
      <c r="AC50" s="291"/>
      <c r="AD50" s="291"/>
      <c r="AE50" s="291"/>
      <c r="AF50" s="291"/>
      <c r="AG50" s="291"/>
      <c r="AH50" s="291"/>
      <c r="AI50" s="291"/>
      <c r="AJ50" s="291"/>
    </row>
    <row r="51" spans="2:36" s="54" customFormat="1" ht="24.95" customHeight="1" x14ac:dyDescent="0.25">
      <c r="B51" s="290"/>
      <c r="C51" s="290"/>
      <c r="D51" s="290"/>
      <c r="E51" s="290"/>
      <c r="F51" s="290"/>
      <c r="G51" s="290"/>
      <c r="H51" s="290"/>
      <c r="I51" s="290"/>
      <c r="J51" s="290"/>
      <c r="K51" s="290"/>
      <c r="L51" s="290"/>
      <c r="M51" s="290"/>
      <c r="N51" s="290"/>
      <c r="O51" s="290"/>
      <c r="P51" s="290"/>
      <c r="Q51" s="290"/>
      <c r="R51" s="290"/>
      <c r="S51" s="290"/>
      <c r="T51" s="290"/>
      <c r="U51" s="290"/>
      <c r="V51" s="290"/>
      <c r="W51" s="290"/>
      <c r="X51" s="290"/>
      <c r="Y51" s="290"/>
      <c r="Z51" s="295"/>
      <c r="AB51" s="291"/>
      <c r="AC51" s="291"/>
      <c r="AD51" s="291"/>
      <c r="AE51" s="291"/>
      <c r="AF51" s="291"/>
      <c r="AG51" s="291"/>
      <c r="AH51" s="291"/>
      <c r="AI51" s="291"/>
      <c r="AJ51" s="291"/>
    </row>
    <row r="52" spans="2:36" s="54" customFormat="1" ht="24.95" customHeight="1" x14ac:dyDescent="0.25">
      <c r="B52" s="290"/>
      <c r="C52" s="290"/>
      <c r="D52" s="290"/>
      <c r="E52" s="290"/>
      <c r="F52" s="290"/>
      <c r="G52" s="290"/>
      <c r="H52" s="290"/>
      <c r="I52" s="290"/>
      <c r="J52" s="290"/>
      <c r="K52" s="290"/>
      <c r="L52" s="290"/>
      <c r="M52" s="290"/>
      <c r="N52" s="290"/>
      <c r="O52" s="290"/>
      <c r="P52" s="290"/>
      <c r="Q52" s="290"/>
      <c r="R52" s="290"/>
      <c r="S52" s="290"/>
      <c r="T52" s="290"/>
      <c r="U52" s="290"/>
      <c r="V52" s="290"/>
      <c r="W52" s="290"/>
      <c r="X52" s="290"/>
      <c r="Y52" s="290"/>
      <c r="Z52" s="295"/>
      <c r="AB52" s="291"/>
      <c r="AC52" s="291"/>
      <c r="AD52" s="291"/>
      <c r="AE52" s="291"/>
      <c r="AF52" s="291"/>
      <c r="AG52" s="291"/>
      <c r="AH52" s="291"/>
      <c r="AI52" s="291"/>
      <c r="AJ52" s="291"/>
    </row>
    <row r="53" spans="2:36" s="54" customFormat="1" ht="24.95" customHeight="1" x14ac:dyDescent="0.25">
      <c r="B53" s="290"/>
      <c r="C53" s="290"/>
      <c r="D53" s="290"/>
      <c r="E53" s="290"/>
      <c r="F53" s="290"/>
      <c r="G53" s="290"/>
      <c r="H53" s="290"/>
      <c r="I53" s="290"/>
      <c r="J53" s="290"/>
      <c r="K53" s="290"/>
      <c r="L53" s="290"/>
      <c r="M53" s="290"/>
      <c r="N53" s="290"/>
      <c r="O53" s="290"/>
      <c r="P53" s="290"/>
      <c r="Q53" s="290"/>
      <c r="R53" s="290"/>
      <c r="S53" s="290"/>
      <c r="T53" s="290"/>
      <c r="U53" s="290"/>
      <c r="V53" s="290"/>
      <c r="W53" s="290"/>
      <c r="X53" s="290"/>
      <c r="Y53" s="290"/>
      <c r="Z53" s="295"/>
      <c r="AB53" s="291"/>
      <c r="AC53" s="291"/>
      <c r="AD53" s="291"/>
      <c r="AE53" s="291"/>
      <c r="AF53" s="291"/>
      <c r="AG53" s="291"/>
      <c r="AH53" s="291"/>
      <c r="AI53" s="291"/>
      <c r="AJ53" s="291"/>
    </row>
    <row r="54" spans="2:36" s="54" customFormat="1" ht="24.95" customHeight="1" x14ac:dyDescent="0.25">
      <c r="B54" s="290"/>
      <c r="C54" s="290"/>
      <c r="D54" s="290"/>
      <c r="E54" s="290"/>
      <c r="F54" s="290"/>
      <c r="G54" s="290"/>
      <c r="H54" s="290"/>
      <c r="I54" s="290"/>
      <c r="J54" s="290"/>
      <c r="K54" s="290"/>
      <c r="L54" s="290"/>
      <c r="M54" s="290"/>
      <c r="N54" s="290"/>
      <c r="O54" s="290"/>
      <c r="P54" s="290"/>
      <c r="Q54" s="290"/>
      <c r="R54" s="290"/>
      <c r="S54" s="290"/>
      <c r="T54" s="290"/>
      <c r="U54" s="290"/>
      <c r="V54" s="290"/>
      <c r="W54" s="290"/>
      <c r="X54" s="290"/>
      <c r="Y54" s="290"/>
      <c r="Z54" s="295"/>
      <c r="AB54" s="291"/>
      <c r="AC54" s="291"/>
      <c r="AD54" s="291"/>
      <c r="AE54" s="291"/>
      <c r="AF54" s="291"/>
      <c r="AG54" s="291"/>
      <c r="AH54" s="291"/>
      <c r="AI54" s="291"/>
      <c r="AJ54" s="291"/>
    </row>
    <row r="55" spans="2:36" s="54" customFormat="1" ht="24.95" customHeight="1" x14ac:dyDescent="0.25">
      <c r="B55" s="290"/>
      <c r="C55" s="290"/>
      <c r="D55" s="290"/>
      <c r="E55" s="290"/>
      <c r="F55" s="290"/>
      <c r="G55" s="290"/>
      <c r="H55" s="290"/>
      <c r="I55" s="290"/>
      <c r="J55" s="290"/>
      <c r="K55" s="290"/>
      <c r="L55" s="290"/>
      <c r="M55" s="290"/>
      <c r="N55" s="290"/>
      <c r="O55" s="290"/>
      <c r="P55" s="290"/>
      <c r="Q55" s="290"/>
      <c r="R55" s="290"/>
      <c r="S55" s="290"/>
      <c r="T55" s="290"/>
      <c r="U55" s="290"/>
      <c r="V55" s="290"/>
      <c r="W55" s="290"/>
      <c r="X55" s="290"/>
      <c r="Y55" s="290"/>
      <c r="Z55" s="295"/>
      <c r="AB55" s="291"/>
      <c r="AC55" s="291"/>
      <c r="AD55" s="291"/>
      <c r="AE55" s="291"/>
      <c r="AF55" s="291"/>
      <c r="AG55" s="291"/>
      <c r="AH55" s="291"/>
      <c r="AI55" s="291"/>
      <c r="AJ55" s="291"/>
    </row>
    <row r="56" spans="2:36" s="54" customFormat="1" ht="24.95" customHeight="1" x14ac:dyDescent="0.25">
      <c r="B56" s="290"/>
      <c r="C56" s="290"/>
      <c r="D56" s="290"/>
      <c r="E56" s="290"/>
      <c r="F56" s="290"/>
      <c r="G56" s="290"/>
      <c r="H56" s="290"/>
      <c r="I56" s="290"/>
      <c r="J56" s="290"/>
      <c r="K56" s="290"/>
      <c r="L56" s="290"/>
      <c r="M56" s="290"/>
      <c r="N56" s="290"/>
      <c r="O56" s="290"/>
      <c r="P56" s="290"/>
      <c r="Q56" s="290"/>
      <c r="R56" s="290"/>
      <c r="S56" s="290"/>
      <c r="T56" s="290"/>
      <c r="U56" s="290"/>
      <c r="V56" s="290"/>
      <c r="W56" s="290"/>
      <c r="X56" s="290"/>
      <c r="Y56" s="290"/>
      <c r="Z56" s="295"/>
      <c r="AB56" s="291"/>
      <c r="AC56" s="291"/>
      <c r="AD56" s="291"/>
      <c r="AE56" s="291"/>
      <c r="AF56" s="291"/>
      <c r="AG56" s="291"/>
      <c r="AH56" s="291"/>
      <c r="AI56" s="291"/>
      <c r="AJ56" s="291"/>
    </row>
    <row r="57" spans="2:36" s="54" customFormat="1" ht="24.95" customHeight="1" x14ac:dyDescent="0.25">
      <c r="B57" s="290"/>
      <c r="C57" s="290"/>
      <c r="D57" s="290"/>
      <c r="E57" s="290"/>
      <c r="F57" s="290"/>
      <c r="G57" s="290"/>
      <c r="H57" s="290"/>
      <c r="I57" s="290"/>
      <c r="J57" s="290"/>
      <c r="K57" s="290"/>
      <c r="L57" s="290"/>
      <c r="M57" s="290"/>
      <c r="N57" s="290"/>
      <c r="O57" s="290"/>
      <c r="P57" s="290"/>
      <c r="Q57" s="290"/>
      <c r="R57" s="290"/>
      <c r="S57" s="290"/>
      <c r="T57" s="290"/>
      <c r="U57" s="290"/>
      <c r="V57" s="290"/>
      <c r="W57" s="290"/>
      <c r="X57" s="290"/>
      <c r="Y57" s="290"/>
      <c r="Z57" s="295"/>
      <c r="AB57" s="291"/>
      <c r="AC57" s="291"/>
      <c r="AD57" s="291"/>
      <c r="AE57" s="291"/>
      <c r="AF57" s="291"/>
      <c r="AG57" s="291"/>
      <c r="AH57" s="291"/>
      <c r="AI57" s="291"/>
      <c r="AJ57" s="291"/>
    </row>
    <row r="58" spans="2:36" s="54" customFormat="1" ht="24.95" customHeight="1" x14ac:dyDescent="0.25">
      <c r="B58" s="290"/>
      <c r="C58" s="290"/>
      <c r="D58" s="290"/>
      <c r="E58" s="290"/>
      <c r="F58" s="290"/>
      <c r="G58" s="290"/>
      <c r="H58" s="290"/>
      <c r="I58" s="290"/>
      <c r="J58" s="290"/>
      <c r="K58" s="290"/>
      <c r="L58" s="290"/>
      <c r="M58" s="290"/>
      <c r="N58" s="290"/>
      <c r="O58" s="290"/>
      <c r="P58" s="290"/>
      <c r="Q58" s="290"/>
      <c r="R58" s="290"/>
      <c r="S58" s="290"/>
      <c r="T58" s="290"/>
      <c r="U58" s="290"/>
      <c r="V58" s="290"/>
      <c r="W58" s="290"/>
      <c r="X58" s="290"/>
      <c r="Y58" s="290"/>
      <c r="Z58" s="295"/>
      <c r="AB58" s="291"/>
      <c r="AC58" s="291"/>
      <c r="AD58" s="291"/>
      <c r="AE58" s="291"/>
      <c r="AF58" s="291"/>
      <c r="AG58" s="291"/>
      <c r="AH58" s="291"/>
      <c r="AI58" s="291"/>
      <c r="AJ58" s="291"/>
    </row>
    <row r="59" spans="2:36" s="54" customFormat="1" ht="24.95" customHeight="1" x14ac:dyDescent="0.25">
      <c r="B59" s="290"/>
      <c r="C59" s="290"/>
      <c r="D59" s="290"/>
      <c r="E59" s="290"/>
      <c r="F59" s="290"/>
      <c r="G59" s="290"/>
      <c r="H59" s="290"/>
      <c r="I59" s="290"/>
      <c r="J59" s="290"/>
      <c r="K59" s="290"/>
      <c r="L59" s="290"/>
      <c r="M59" s="290"/>
      <c r="N59" s="290"/>
      <c r="O59" s="290"/>
      <c r="P59" s="290"/>
      <c r="Q59" s="290"/>
      <c r="R59" s="290"/>
      <c r="S59" s="290"/>
      <c r="T59" s="290"/>
      <c r="U59" s="290"/>
      <c r="V59" s="290"/>
      <c r="W59" s="290"/>
      <c r="X59" s="290"/>
      <c r="Y59" s="290"/>
      <c r="Z59" s="295"/>
      <c r="AB59" s="291"/>
      <c r="AC59" s="291"/>
      <c r="AD59" s="291"/>
      <c r="AE59" s="291"/>
      <c r="AF59" s="291"/>
      <c r="AG59" s="291"/>
      <c r="AH59" s="291"/>
      <c r="AI59" s="291"/>
      <c r="AJ59" s="291"/>
    </row>
    <row r="60" spans="2:36" s="54" customFormat="1" ht="24.95" customHeight="1" x14ac:dyDescent="0.25">
      <c r="B60" s="290"/>
      <c r="C60" s="290"/>
      <c r="D60" s="290"/>
      <c r="E60" s="290"/>
      <c r="F60" s="290"/>
      <c r="G60" s="290"/>
      <c r="H60" s="290"/>
      <c r="I60" s="290"/>
      <c r="J60" s="290"/>
      <c r="K60" s="290"/>
      <c r="L60" s="290"/>
      <c r="M60" s="290"/>
      <c r="N60" s="290"/>
      <c r="O60" s="290"/>
      <c r="P60" s="290"/>
      <c r="Q60" s="290"/>
      <c r="R60" s="290"/>
      <c r="S60" s="290"/>
      <c r="T60" s="290"/>
      <c r="U60" s="290"/>
      <c r="V60" s="290"/>
      <c r="W60" s="290"/>
      <c r="X60" s="290"/>
      <c r="Y60" s="290"/>
      <c r="Z60" s="295"/>
      <c r="AB60" s="291"/>
      <c r="AC60" s="291"/>
      <c r="AD60" s="291"/>
      <c r="AE60" s="291"/>
      <c r="AF60" s="291"/>
      <c r="AG60" s="291"/>
      <c r="AH60" s="291"/>
      <c r="AI60" s="291"/>
      <c r="AJ60" s="291"/>
    </row>
    <row r="61" spans="2:36" s="54" customFormat="1" ht="24.95" customHeight="1" x14ac:dyDescent="0.25">
      <c r="B61" s="290"/>
      <c r="C61" s="290"/>
      <c r="D61" s="290"/>
      <c r="E61" s="290"/>
      <c r="F61" s="290"/>
      <c r="G61" s="290"/>
      <c r="H61" s="290"/>
      <c r="I61" s="290"/>
      <c r="J61" s="290"/>
      <c r="K61" s="290"/>
      <c r="L61" s="290"/>
      <c r="M61" s="290"/>
      <c r="N61" s="290"/>
      <c r="O61" s="290"/>
      <c r="P61" s="290"/>
      <c r="Q61" s="290"/>
      <c r="R61" s="290"/>
      <c r="S61" s="290"/>
      <c r="T61" s="290"/>
      <c r="U61" s="290"/>
      <c r="V61" s="290"/>
      <c r="W61" s="290"/>
      <c r="X61" s="290"/>
      <c r="Y61" s="290"/>
      <c r="Z61" s="295"/>
      <c r="AB61" s="291"/>
      <c r="AC61" s="291"/>
      <c r="AD61" s="291"/>
      <c r="AE61" s="291"/>
      <c r="AF61" s="291"/>
      <c r="AG61" s="291"/>
      <c r="AH61" s="291"/>
      <c r="AI61" s="291"/>
      <c r="AJ61" s="291"/>
    </row>
    <row r="62" spans="2:36" s="54" customFormat="1" ht="24.95" customHeight="1" x14ac:dyDescent="0.25">
      <c r="B62" s="290"/>
      <c r="C62" s="290"/>
      <c r="D62" s="290"/>
      <c r="E62" s="290"/>
      <c r="F62" s="290"/>
      <c r="G62" s="290"/>
      <c r="H62" s="290"/>
      <c r="I62" s="290"/>
      <c r="J62" s="290"/>
      <c r="K62" s="290"/>
      <c r="L62" s="290"/>
      <c r="M62" s="290"/>
      <c r="N62" s="290"/>
      <c r="O62" s="290"/>
      <c r="P62" s="290"/>
      <c r="Q62" s="290"/>
      <c r="R62" s="290"/>
      <c r="S62" s="290"/>
      <c r="T62" s="290"/>
      <c r="U62" s="290"/>
      <c r="V62" s="290"/>
      <c r="W62" s="290"/>
      <c r="X62" s="290"/>
      <c r="Y62" s="290"/>
      <c r="Z62" s="295"/>
      <c r="AB62" s="291"/>
      <c r="AC62" s="291"/>
      <c r="AD62" s="291"/>
      <c r="AE62" s="291"/>
      <c r="AF62" s="291"/>
      <c r="AG62" s="291"/>
      <c r="AH62" s="291"/>
      <c r="AI62" s="291"/>
      <c r="AJ62" s="291"/>
    </row>
    <row r="63" spans="2:36" s="54" customFormat="1" ht="24.95" customHeight="1" x14ac:dyDescent="0.25">
      <c r="B63" s="290"/>
      <c r="C63" s="290"/>
      <c r="D63" s="290"/>
      <c r="E63" s="290"/>
      <c r="F63" s="290"/>
      <c r="G63" s="290"/>
      <c r="H63" s="290"/>
      <c r="I63" s="290"/>
      <c r="J63" s="290"/>
      <c r="K63" s="290"/>
      <c r="L63" s="290"/>
      <c r="M63" s="290"/>
      <c r="N63" s="290"/>
      <c r="O63" s="290"/>
      <c r="P63" s="290"/>
      <c r="Q63" s="290"/>
      <c r="R63" s="290"/>
      <c r="S63" s="290"/>
      <c r="T63" s="290"/>
      <c r="U63" s="290"/>
      <c r="V63" s="290"/>
      <c r="W63" s="290"/>
      <c r="X63" s="290"/>
      <c r="Y63" s="290"/>
      <c r="Z63" s="295"/>
      <c r="AB63" s="291"/>
      <c r="AC63" s="291"/>
      <c r="AD63" s="291"/>
      <c r="AE63" s="291"/>
      <c r="AF63" s="291"/>
      <c r="AG63" s="291"/>
      <c r="AH63" s="291"/>
      <c r="AI63" s="291"/>
      <c r="AJ63" s="291"/>
    </row>
    <row r="64" spans="2:36" s="54" customFormat="1" ht="24.95" customHeight="1" x14ac:dyDescent="0.25">
      <c r="B64" s="290"/>
      <c r="C64" s="290"/>
      <c r="D64" s="290"/>
      <c r="E64" s="290"/>
      <c r="F64" s="290"/>
      <c r="G64" s="290"/>
      <c r="H64" s="290"/>
      <c r="I64" s="290"/>
      <c r="J64" s="290"/>
      <c r="K64" s="290"/>
      <c r="L64" s="290"/>
      <c r="M64" s="290"/>
      <c r="N64" s="290"/>
      <c r="O64" s="290"/>
      <c r="P64" s="290"/>
      <c r="Q64" s="290"/>
      <c r="R64" s="290"/>
      <c r="S64" s="290"/>
      <c r="T64" s="290"/>
      <c r="U64" s="290"/>
      <c r="V64" s="290"/>
      <c r="W64" s="290"/>
      <c r="X64" s="290"/>
      <c r="Y64" s="290"/>
      <c r="Z64" s="295"/>
      <c r="AB64" s="291"/>
      <c r="AC64" s="291"/>
      <c r="AD64" s="291"/>
      <c r="AE64" s="291"/>
      <c r="AF64" s="291"/>
      <c r="AG64" s="291"/>
      <c r="AH64" s="291"/>
      <c r="AI64" s="291"/>
      <c r="AJ64" s="291"/>
    </row>
    <row r="65" spans="2:36" s="54" customFormat="1" ht="24.95" customHeight="1" x14ac:dyDescent="0.25">
      <c r="B65" s="290"/>
      <c r="C65" s="290"/>
      <c r="D65" s="290"/>
      <c r="E65" s="290"/>
      <c r="F65" s="290"/>
      <c r="G65" s="290"/>
      <c r="H65" s="290"/>
      <c r="I65" s="290"/>
      <c r="J65" s="290"/>
      <c r="K65" s="290"/>
      <c r="L65" s="290"/>
      <c r="M65" s="290"/>
      <c r="N65" s="290"/>
      <c r="O65" s="290"/>
      <c r="P65" s="290"/>
      <c r="Q65" s="290"/>
      <c r="R65" s="290"/>
      <c r="S65" s="290"/>
      <c r="T65" s="290"/>
      <c r="U65" s="290"/>
      <c r="V65" s="290"/>
      <c r="W65" s="290"/>
      <c r="X65" s="290"/>
      <c r="Y65" s="290"/>
      <c r="Z65" s="295"/>
      <c r="AB65" s="291"/>
      <c r="AC65" s="291"/>
      <c r="AD65" s="291"/>
      <c r="AE65" s="291"/>
      <c r="AF65" s="291"/>
      <c r="AG65" s="291"/>
      <c r="AH65" s="291"/>
      <c r="AI65" s="291"/>
      <c r="AJ65" s="291"/>
    </row>
    <row r="66" spans="2:36" s="54" customFormat="1" ht="24.95" customHeight="1" x14ac:dyDescent="0.25">
      <c r="B66" s="290"/>
      <c r="C66" s="290"/>
      <c r="D66" s="290"/>
      <c r="E66" s="290"/>
      <c r="F66" s="290"/>
      <c r="G66" s="290"/>
      <c r="H66" s="290"/>
      <c r="I66" s="290"/>
      <c r="J66" s="290"/>
      <c r="K66" s="290"/>
      <c r="L66" s="290"/>
      <c r="M66" s="290"/>
      <c r="N66" s="290"/>
      <c r="O66" s="290"/>
      <c r="P66" s="290"/>
      <c r="Q66" s="290"/>
      <c r="R66" s="290"/>
      <c r="S66" s="290"/>
      <c r="T66" s="290"/>
      <c r="U66" s="290"/>
      <c r="V66" s="290"/>
      <c r="W66" s="290"/>
      <c r="X66" s="290"/>
      <c r="Y66" s="290"/>
      <c r="Z66" s="295"/>
      <c r="AB66" s="291"/>
      <c r="AC66" s="291"/>
      <c r="AD66" s="291"/>
      <c r="AE66" s="291"/>
      <c r="AF66" s="291"/>
      <c r="AG66" s="291"/>
      <c r="AH66" s="291"/>
      <c r="AI66" s="291"/>
      <c r="AJ66" s="291"/>
    </row>
    <row r="67" spans="2:36" s="54" customFormat="1" ht="24.95" customHeight="1" x14ac:dyDescent="0.25">
      <c r="B67" s="290"/>
      <c r="C67" s="290"/>
      <c r="D67" s="290"/>
      <c r="E67" s="290"/>
      <c r="F67" s="290"/>
      <c r="G67" s="290"/>
      <c r="H67" s="290"/>
      <c r="I67" s="290"/>
      <c r="J67" s="290"/>
      <c r="K67" s="290"/>
      <c r="L67" s="290"/>
      <c r="M67" s="290"/>
      <c r="N67" s="290"/>
      <c r="O67" s="290"/>
      <c r="P67" s="290"/>
      <c r="Q67" s="290"/>
      <c r="R67" s="290"/>
      <c r="S67" s="290"/>
      <c r="T67" s="290"/>
      <c r="U67" s="290"/>
      <c r="V67" s="290"/>
      <c r="W67" s="290"/>
      <c r="X67" s="290"/>
      <c r="Y67" s="290"/>
      <c r="Z67" s="295"/>
      <c r="AB67" s="291"/>
      <c r="AC67" s="291"/>
      <c r="AD67" s="291"/>
      <c r="AE67" s="291"/>
      <c r="AF67" s="291"/>
      <c r="AG67" s="291"/>
      <c r="AH67" s="291"/>
      <c r="AI67" s="291"/>
      <c r="AJ67" s="291"/>
    </row>
    <row r="68" spans="2:36" s="54" customFormat="1" ht="24.95" customHeight="1" x14ac:dyDescent="0.25">
      <c r="B68" s="290"/>
      <c r="C68" s="290"/>
      <c r="D68" s="290"/>
      <c r="E68" s="290"/>
      <c r="F68" s="290"/>
      <c r="G68" s="290"/>
      <c r="H68" s="290"/>
      <c r="I68" s="290"/>
      <c r="J68" s="290"/>
      <c r="K68" s="290"/>
      <c r="L68" s="290"/>
      <c r="M68" s="290"/>
      <c r="N68" s="290"/>
      <c r="O68" s="290"/>
      <c r="P68" s="290"/>
      <c r="Q68" s="290"/>
      <c r="R68" s="290"/>
      <c r="S68" s="290"/>
      <c r="T68" s="290"/>
      <c r="U68" s="290"/>
      <c r="V68" s="290"/>
      <c r="W68" s="290"/>
      <c r="X68" s="290"/>
      <c r="Y68" s="290"/>
      <c r="Z68" s="295"/>
      <c r="AB68" s="291"/>
      <c r="AC68" s="291"/>
      <c r="AD68" s="291"/>
      <c r="AE68" s="291"/>
      <c r="AF68" s="291"/>
      <c r="AG68" s="291"/>
      <c r="AH68" s="291"/>
      <c r="AI68" s="291"/>
      <c r="AJ68" s="291"/>
    </row>
    <row r="69" spans="2:36" s="54" customFormat="1" ht="24.95" customHeight="1" x14ac:dyDescent="0.25">
      <c r="Z69" s="295"/>
      <c r="AB69" s="291"/>
      <c r="AC69" s="291"/>
      <c r="AD69" s="291"/>
      <c r="AE69" s="291"/>
      <c r="AF69" s="291"/>
      <c r="AG69" s="291"/>
      <c r="AH69" s="291"/>
      <c r="AI69" s="291"/>
      <c r="AJ69" s="291"/>
    </row>
    <row r="70" spans="2:36" s="54" customFormat="1" ht="24.95" customHeight="1" x14ac:dyDescent="0.25">
      <c r="Z70" s="295"/>
      <c r="AB70" s="291"/>
      <c r="AC70" s="291"/>
      <c r="AD70" s="291"/>
      <c r="AE70" s="291"/>
      <c r="AF70" s="291"/>
      <c r="AG70" s="291"/>
      <c r="AH70" s="291"/>
      <c r="AI70" s="291"/>
      <c r="AJ70" s="291"/>
    </row>
    <row r="71" spans="2:36" s="54" customFormat="1" ht="24.95" customHeight="1" x14ac:dyDescent="0.25">
      <c r="Z71" s="295"/>
      <c r="AB71" s="291"/>
      <c r="AC71" s="291"/>
      <c r="AD71" s="291"/>
      <c r="AE71" s="291"/>
      <c r="AF71" s="291"/>
      <c r="AG71" s="291"/>
      <c r="AH71" s="291"/>
      <c r="AI71" s="291"/>
      <c r="AJ71" s="291"/>
    </row>
    <row r="72" spans="2:36" s="54" customFormat="1" ht="24.95" customHeight="1" x14ac:dyDescent="0.25">
      <c r="Z72" s="295"/>
      <c r="AB72" s="291"/>
      <c r="AC72" s="291"/>
      <c r="AD72" s="291"/>
      <c r="AE72" s="291"/>
      <c r="AF72" s="291"/>
      <c r="AG72" s="291"/>
      <c r="AH72" s="291"/>
      <c r="AI72" s="291"/>
      <c r="AJ72" s="291"/>
    </row>
    <row r="73" spans="2:36" s="54" customFormat="1" ht="24.95" customHeight="1" x14ac:dyDescent="0.25">
      <c r="Z73" s="295"/>
      <c r="AB73" s="291"/>
      <c r="AC73" s="291"/>
      <c r="AD73" s="291"/>
      <c r="AE73" s="291"/>
      <c r="AF73" s="291"/>
      <c r="AG73" s="291"/>
      <c r="AH73" s="291"/>
      <c r="AI73" s="291"/>
      <c r="AJ73" s="291"/>
    </row>
    <row r="74" spans="2:36" s="54" customFormat="1" ht="24.95" customHeight="1" x14ac:dyDescent="0.25">
      <c r="Z74" s="295"/>
      <c r="AB74" s="291"/>
      <c r="AC74" s="291"/>
      <c r="AD74" s="291"/>
      <c r="AE74" s="291"/>
      <c r="AF74" s="291"/>
      <c r="AG74" s="291"/>
      <c r="AH74" s="291"/>
      <c r="AI74" s="291"/>
      <c r="AJ74" s="291"/>
    </row>
  </sheetData>
  <mergeCells count="31">
    <mergeCell ref="B13:F13"/>
    <mergeCell ref="B1:Y6"/>
    <mergeCell ref="G13:Y13"/>
    <mergeCell ref="I26:L26"/>
    <mergeCell ref="I27:L27"/>
    <mergeCell ref="D11:R11"/>
    <mergeCell ref="I28:L28"/>
    <mergeCell ref="I25:L25"/>
    <mergeCell ref="B14:F14"/>
    <mergeCell ref="B15:F15"/>
    <mergeCell ref="B16:F16"/>
    <mergeCell ref="G16:I16"/>
    <mergeCell ref="G14:Y14"/>
    <mergeCell ref="G15:Y15"/>
    <mergeCell ref="E20:H21"/>
    <mergeCell ref="I20:L21"/>
    <mergeCell ref="P20:V20"/>
    <mergeCell ref="I22:L22"/>
    <mergeCell ref="I23:L23"/>
    <mergeCell ref="I24:L24"/>
    <mergeCell ref="I29:L29"/>
    <mergeCell ref="I30:L30"/>
    <mergeCell ref="I31:L31"/>
    <mergeCell ref="P31:V31"/>
    <mergeCell ref="B34:Y34"/>
    <mergeCell ref="B36:Y36"/>
    <mergeCell ref="B37:Y37"/>
    <mergeCell ref="B46:Y46"/>
    <mergeCell ref="B47:Y49"/>
    <mergeCell ref="P33:V33"/>
    <mergeCell ref="B35:Y35"/>
  </mergeCells>
  <conditionalFormatting sqref="G14:Y15">
    <cfRule type="cellIs" dxfId="7" priority="2" stopIfTrue="1" operator="equal">
      <formula>0</formula>
    </cfRule>
  </conditionalFormatting>
  <conditionalFormatting sqref="I22:I28">
    <cfRule type="cellIs" dxfId="6" priority="1" stopIfTrue="1" operator="equal">
      <formula>0</formula>
    </cfRule>
  </conditionalFormatting>
  <printOptions horizontalCentered="1"/>
  <pageMargins left="0.51181102362204722" right="0.51181102362204722" top="0.78740157480314965" bottom="0.78740157480314965" header="0.31496062992125984" footer="0.31496062992125984"/>
  <pageSetup paperSize="9" scale="57" orientation="portrait" horizontalDpi="1200" verticalDpi="1200" r:id="rId1"/>
  <headerFooter>
    <oddFooter>&amp;L&amp;"Arial Narrow,Normal"&amp;10&amp;A
&amp;F&amp;R&amp;"Arial Narrow,Normal"&amp;10Página &amp;P de &amp;N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AU74"/>
  <sheetViews>
    <sheetView showGridLines="0" view="pageBreakPreview" topLeftCell="A22" zoomScaleNormal="100" zoomScaleSheetLayoutView="100" workbookViewId="0">
      <selection activeCell="D11" sqref="D11:S11"/>
    </sheetView>
  </sheetViews>
  <sheetFormatPr defaultColWidth="3.5703125" defaultRowHeight="12.75" x14ac:dyDescent="0.25"/>
  <cols>
    <col min="1" max="1" width="1.5703125" style="262" customWidth="1"/>
    <col min="2" max="2" width="5.42578125" style="262" customWidth="1"/>
    <col min="3" max="3" width="2.5703125" style="262" customWidth="1"/>
    <col min="4" max="5" width="5.42578125" style="262" customWidth="1"/>
    <col min="6" max="6" width="10.42578125" style="262" customWidth="1"/>
    <col min="7" max="14" width="6.5703125" style="262" customWidth="1"/>
    <col min="15" max="15" width="4.42578125" style="262" customWidth="1"/>
    <col min="16" max="22" width="5.5703125" style="262" customWidth="1"/>
    <col min="23" max="24" width="4.42578125" style="262" customWidth="1"/>
    <col min="25" max="25" width="8.42578125" style="262" customWidth="1"/>
    <col min="26" max="26" width="1.5703125" style="295" customWidth="1"/>
    <col min="27" max="27" width="3.5703125" style="262" customWidth="1"/>
    <col min="28" max="28" width="19.42578125" style="265" customWidth="1"/>
    <col min="29" max="29" width="8.5703125" style="265" customWidth="1"/>
    <col min="30" max="31" width="9.140625" style="265" customWidth="1"/>
    <col min="32" max="32" width="3.5703125" style="265"/>
    <col min="33" max="33" width="10.85546875" style="265" hidden="1" customWidth="1"/>
    <col min="34" max="34" width="7" style="265" hidden="1" customWidth="1"/>
    <col min="35" max="36" width="3.5703125" style="265"/>
    <col min="37" max="41" width="3.5703125" style="262"/>
    <col min="42" max="42" width="5.5703125" style="262" bestFit="1" customWidth="1"/>
    <col min="43" max="44" width="3.5703125" style="262"/>
    <col min="45" max="45" width="6.5703125" style="262" bestFit="1" customWidth="1"/>
    <col min="46" max="46" width="3.5703125" style="262"/>
    <col min="47" max="47" width="5.5703125" style="262" bestFit="1" customWidth="1"/>
    <col min="48" max="259" width="3.5703125" style="262"/>
    <col min="260" max="260" width="11.42578125" style="262" customWidth="1"/>
    <col min="261" max="261" width="1.85546875" style="262" customWidth="1"/>
    <col min="262" max="265" width="5.42578125" style="262" customWidth="1"/>
    <col min="266" max="266" width="10.42578125" style="262" customWidth="1"/>
    <col min="267" max="267" width="7.85546875" style="262" customWidth="1"/>
    <col min="268" max="268" width="8.85546875" style="262" customWidth="1"/>
    <col min="269" max="269" width="8.42578125" style="262" customWidth="1"/>
    <col min="270" max="270" width="4.42578125" style="262" customWidth="1"/>
    <col min="271" max="272" width="4.140625" style="262" customWidth="1"/>
    <col min="273" max="273" width="6.85546875" style="262" customWidth="1"/>
    <col min="274" max="274" width="4.140625" style="262" customWidth="1"/>
    <col min="275" max="280" width="4.42578125" style="262" customWidth="1"/>
    <col min="281" max="281" width="7" style="262" customWidth="1"/>
    <col min="282" max="282" width="0" style="262" hidden="1" customWidth="1"/>
    <col min="283" max="286" width="3.5703125" style="262" customWidth="1"/>
    <col min="287" max="288" width="3.5703125" style="262"/>
    <col min="289" max="290" width="0" style="262" hidden="1" customWidth="1"/>
    <col min="291" max="297" width="3.5703125" style="262"/>
    <col min="298" max="298" width="5.5703125" style="262" bestFit="1" customWidth="1"/>
    <col min="299" max="300" width="3.5703125" style="262"/>
    <col min="301" max="301" width="6.5703125" style="262" bestFit="1" customWidth="1"/>
    <col min="302" max="302" width="3.5703125" style="262"/>
    <col min="303" max="303" width="5.5703125" style="262" bestFit="1" customWidth="1"/>
    <col min="304" max="515" width="3.5703125" style="262"/>
    <col min="516" max="516" width="11.42578125" style="262" customWidth="1"/>
    <col min="517" max="517" width="1.85546875" style="262" customWidth="1"/>
    <col min="518" max="521" width="5.42578125" style="262" customWidth="1"/>
    <col min="522" max="522" width="10.42578125" style="262" customWidth="1"/>
    <col min="523" max="523" width="7.85546875" style="262" customWidth="1"/>
    <col min="524" max="524" width="8.85546875" style="262" customWidth="1"/>
    <col min="525" max="525" width="8.42578125" style="262" customWidth="1"/>
    <col min="526" max="526" width="4.42578125" style="262" customWidth="1"/>
    <col min="527" max="528" width="4.140625" style="262" customWidth="1"/>
    <col min="529" max="529" width="6.85546875" style="262" customWidth="1"/>
    <col min="530" max="530" width="4.140625" style="262" customWidth="1"/>
    <col min="531" max="536" width="4.42578125" style="262" customWidth="1"/>
    <col min="537" max="537" width="7" style="262" customWidth="1"/>
    <col min="538" max="538" width="0" style="262" hidden="1" customWidth="1"/>
    <col min="539" max="542" width="3.5703125" style="262" customWidth="1"/>
    <col min="543" max="544" width="3.5703125" style="262"/>
    <col min="545" max="546" width="0" style="262" hidden="1" customWidth="1"/>
    <col min="547" max="553" width="3.5703125" style="262"/>
    <col min="554" max="554" width="5.5703125" style="262" bestFit="1" customWidth="1"/>
    <col min="555" max="556" width="3.5703125" style="262"/>
    <col min="557" max="557" width="6.5703125" style="262" bestFit="1" customWidth="1"/>
    <col min="558" max="558" width="3.5703125" style="262"/>
    <col min="559" max="559" width="5.5703125" style="262" bestFit="1" customWidth="1"/>
    <col min="560" max="771" width="3.5703125" style="262"/>
    <col min="772" max="772" width="11.42578125" style="262" customWidth="1"/>
    <col min="773" max="773" width="1.85546875" style="262" customWidth="1"/>
    <col min="774" max="777" width="5.42578125" style="262" customWidth="1"/>
    <col min="778" max="778" width="10.42578125" style="262" customWidth="1"/>
    <col min="779" max="779" width="7.85546875" style="262" customWidth="1"/>
    <col min="780" max="780" width="8.85546875" style="262" customWidth="1"/>
    <col min="781" max="781" width="8.42578125" style="262" customWidth="1"/>
    <col min="782" max="782" width="4.42578125" style="262" customWidth="1"/>
    <col min="783" max="784" width="4.140625" style="262" customWidth="1"/>
    <col min="785" max="785" width="6.85546875" style="262" customWidth="1"/>
    <col min="786" max="786" width="4.140625" style="262" customWidth="1"/>
    <col min="787" max="792" width="4.42578125" style="262" customWidth="1"/>
    <col min="793" max="793" width="7" style="262" customWidth="1"/>
    <col min="794" max="794" width="0" style="262" hidden="1" customWidth="1"/>
    <col min="795" max="798" width="3.5703125" style="262" customWidth="1"/>
    <col min="799" max="800" width="3.5703125" style="262"/>
    <col min="801" max="802" width="0" style="262" hidden="1" customWidth="1"/>
    <col min="803" max="809" width="3.5703125" style="262"/>
    <col min="810" max="810" width="5.5703125" style="262" bestFit="1" customWidth="1"/>
    <col min="811" max="812" width="3.5703125" style="262"/>
    <col min="813" max="813" width="6.5703125" style="262" bestFit="1" customWidth="1"/>
    <col min="814" max="814" width="3.5703125" style="262"/>
    <col min="815" max="815" width="5.5703125" style="262" bestFit="1" customWidth="1"/>
    <col min="816" max="1027" width="3.5703125" style="262"/>
    <col min="1028" max="1028" width="11.42578125" style="262" customWidth="1"/>
    <col min="1029" max="1029" width="1.85546875" style="262" customWidth="1"/>
    <col min="1030" max="1033" width="5.42578125" style="262" customWidth="1"/>
    <col min="1034" max="1034" width="10.42578125" style="262" customWidth="1"/>
    <col min="1035" max="1035" width="7.85546875" style="262" customWidth="1"/>
    <col min="1036" max="1036" width="8.85546875" style="262" customWidth="1"/>
    <col min="1037" max="1037" width="8.42578125" style="262" customWidth="1"/>
    <col min="1038" max="1038" width="4.42578125" style="262" customWidth="1"/>
    <col min="1039" max="1040" width="4.140625" style="262" customWidth="1"/>
    <col min="1041" max="1041" width="6.85546875" style="262" customWidth="1"/>
    <col min="1042" max="1042" width="4.140625" style="262" customWidth="1"/>
    <col min="1043" max="1048" width="4.42578125" style="262" customWidth="1"/>
    <col min="1049" max="1049" width="7" style="262" customWidth="1"/>
    <col min="1050" max="1050" width="0" style="262" hidden="1" customWidth="1"/>
    <col min="1051" max="1054" width="3.5703125" style="262" customWidth="1"/>
    <col min="1055" max="1056" width="3.5703125" style="262"/>
    <col min="1057" max="1058" width="0" style="262" hidden="1" customWidth="1"/>
    <col min="1059" max="1065" width="3.5703125" style="262"/>
    <col min="1066" max="1066" width="5.5703125" style="262" bestFit="1" customWidth="1"/>
    <col min="1067" max="1068" width="3.5703125" style="262"/>
    <col min="1069" max="1069" width="6.5703125" style="262" bestFit="1" customWidth="1"/>
    <col min="1070" max="1070" width="3.5703125" style="262"/>
    <col min="1071" max="1071" width="5.5703125" style="262" bestFit="1" customWidth="1"/>
    <col min="1072" max="1283" width="3.5703125" style="262"/>
    <col min="1284" max="1284" width="11.42578125" style="262" customWidth="1"/>
    <col min="1285" max="1285" width="1.85546875" style="262" customWidth="1"/>
    <col min="1286" max="1289" width="5.42578125" style="262" customWidth="1"/>
    <col min="1290" max="1290" width="10.42578125" style="262" customWidth="1"/>
    <col min="1291" max="1291" width="7.85546875" style="262" customWidth="1"/>
    <col min="1292" max="1292" width="8.85546875" style="262" customWidth="1"/>
    <col min="1293" max="1293" width="8.42578125" style="262" customWidth="1"/>
    <col min="1294" max="1294" width="4.42578125" style="262" customWidth="1"/>
    <col min="1295" max="1296" width="4.140625" style="262" customWidth="1"/>
    <col min="1297" max="1297" width="6.85546875" style="262" customWidth="1"/>
    <col min="1298" max="1298" width="4.140625" style="262" customWidth="1"/>
    <col min="1299" max="1304" width="4.42578125" style="262" customWidth="1"/>
    <col min="1305" max="1305" width="7" style="262" customWidth="1"/>
    <col min="1306" max="1306" width="0" style="262" hidden="1" customWidth="1"/>
    <col min="1307" max="1310" width="3.5703125" style="262" customWidth="1"/>
    <col min="1311" max="1312" width="3.5703125" style="262"/>
    <col min="1313" max="1314" width="0" style="262" hidden="1" customWidth="1"/>
    <col min="1315" max="1321" width="3.5703125" style="262"/>
    <col min="1322" max="1322" width="5.5703125" style="262" bestFit="1" customWidth="1"/>
    <col min="1323" max="1324" width="3.5703125" style="262"/>
    <col min="1325" max="1325" width="6.5703125" style="262" bestFit="1" customWidth="1"/>
    <col min="1326" max="1326" width="3.5703125" style="262"/>
    <col min="1327" max="1327" width="5.5703125" style="262" bestFit="1" customWidth="1"/>
    <col min="1328" max="1539" width="3.5703125" style="262"/>
    <col min="1540" max="1540" width="11.42578125" style="262" customWidth="1"/>
    <col min="1541" max="1541" width="1.85546875" style="262" customWidth="1"/>
    <col min="1542" max="1545" width="5.42578125" style="262" customWidth="1"/>
    <col min="1546" max="1546" width="10.42578125" style="262" customWidth="1"/>
    <col min="1547" max="1547" width="7.85546875" style="262" customWidth="1"/>
    <col min="1548" max="1548" width="8.85546875" style="262" customWidth="1"/>
    <col min="1549" max="1549" width="8.42578125" style="262" customWidth="1"/>
    <col min="1550" max="1550" width="4.42578125" style="262" customWidth="1"/>
    <col min="1551" max="1552" width="4.140625" style="262" customWidth="1"/>
    <col min="1553" max="1553" width="6.85546875" style="262" customWidth="1"/>
    <col min="1554" max="1554" width="4.140625" style="262" customWidth="1"/>
    <col min="1555" max="1560" width="4.42578125" style="262" customWidth="1"/>
    <col min="1561" max="1561" width="7" style="262" customWidth="1"/>
    <col min="1562" max="1562" width="0" style="262" hidden="1" customWidth="1"/>
    <col min="1563" max="1566" width="3.5703125" style="262" customWidth="1"/>
    <col min="1567" max="1568" width="3.5703125" style="262"/>
    <col min="1569" max="1570" width="0" style="262" hidden="1" customWidth="1"/>
    <col min="1571" max="1577" width="3.5703125" style="262"/>
    <col min="1578" max="1578" width="5.5703125" style="262" bestFit="1" customWidth="1"/>
    <col min="1579" max="1580" width="3.5703125" style="262"/>
    <col min="1581" max="1581" width="6.5703125" style="262" bestFit="1" customWidth="1"/>
    <col min="1582" max="1582" width="3.5703125" style="262"/>
    <col min="1583" max="1583" width="5.5703125" style="262" bestFit="1" customWidth="1"/>
    <col min="1584" max="1795" width="3.5703125" style="262"/>
    <col min="1796" max="1796" width="11.42578125" style="262" customWidth="1"/>
    <col min="1797" max="1797" width="1.85546875" style="262" customWidth="1"/>
    <col min="1798" max="1801" width="5.42578125" style="262" customWidth="1"/>
    <col min="1802" max="1802" width="10.42578125" style="262" customWidth="1"/>
    <col min="1803" max="1803" width="7.85546875" style="262" customWidth="1"/>
    <col min="1804" max="1804" width="8.85546875" style="262" customWidth="1"/>
    <col min="1805" max="1805" width="8.42578125" style="262" customWidth="1"/>
    <col min="1806" max="1806" width="4.42578125" style="262" customWidth="1"/>
    <col min="1807" max="1808" width="4.140625" style="262" customWidth="1"/>
    <col min="1809" max="1809" width="6.85546875" style="262" customWidth="1"/>
    <col min="1810" max="1810" width="4.140625" style="262" customWidth="1"/>
    <col min="1811" max="1816" width="4.42578125" style="262" customWidth="1"/>
    <col min="1817" max="1817" width="7" style="262" customWidth="1"/>
    <col min="1818" max="1818" width="0" style="262" hidden="1" customWidth="1"/>
    <col min="1819" max="1822" width="3.5703125" style="262" customWidth="1"/>
    <col min="1823" max="1824" width="3.5703125" style="262"/>
    <col min="1825" max="1826" width="0" style="262" hidden="1" customWidth="1"/>
    <col min="1827" max="1833" width="3.5703125" style="262"/>
    <col min="1834" max="1834" width="5.5703125" style="262" bestFit="1" customWidth="1"/>
    <col min="1835" max="1836" width="3.5703125" style="262"/>
    <col min="1837" max="1837" width="6.5703125" style="262" bestFit="1" customWidth="1"/>
    <col min="1838" max="1838" width="3.5703125" style="262"/>
    <col min="1839" max="1839" width="5.5703125" style="262" bestFit="1" customWidth="1"/>
    <col min="1840" max="2051" width="3.5703125" style="262"/>
    <col min="2052" max="2052" width="11.42578125" style="262" customWidth="1"/>
    <col min="2053" max="2053" width="1.85546875" style="262" customWidth="1"/>
    <col min="2054" max="2057" width="5.42578125" style="262" customWidth="1"/>
    <col min="2058" max="2058" width="10.42578125" style="262" customWidth="1"/>
    <col min="2059" max="2059" width="7.85546875" style="262" customWidth="1"/>
    <col min="2060" max="2060" width="8.85546875" style="262" customWidth="1"/>
    <col min="2061" max="2061" width="8.42578125" style="262" customWidth="1"/>
    <col min="2062" max="2062" width="4.42578125" style="262" customWidth="1"/>
    <col min="2063" max="2064" width="4.140625" style="262" customWidth="1"/>
    <col min="2065" max="2065" width="6.85546875" style="262" customWidth="1"/>
    <col min="2066" max="2066" width="4.140625" style="262" customWidth="1"/>
    <col min="2067" max="2072" width="4.42578125" style="262" customWidth="1"/>
    <col min="2073" max="2073" width="7" style="262" customWidth="1"/>
    <col min="2074" max="2074" width="0" style="262" hidden="1" customWidth="1"/>
    <col min="2075" max="2078" width="3.5703125" style="262" customWidth="1"/>
    <col min="2079" max="2080" width="3.5703125" style="262"/>
    <col min="2081" max="2082" width="0" style="262" hidden="1" customWidth="1"/>
    <col min="2083" max="2089" width="3.5703125" style="262"/>
    <col min="2090" max="2090" width="5.5703125" style="262" bestFit="1" customWidth="1"/>
    <col min="2091" max="2092" width="3.5703125" style="262"/>
    <col min="2093" max="2093" width="6.5703125" style="262" bestFit="1" customWidth="1"/>
    <col min="2094" max="2094" width="3.5703125" style="262"/>
    <col min="2095" max="2095" width="5.5703125" style="262" bestFit="1" customWidth="1"/>
    <col min="2096" max="2307" width="3.5703125" style="262"/>
    <col min="2308" max="2308" width="11.42578125" style="262" customWidth="1"/>
    <col min="2309" max="2309" width="1.85546875" style="262" customWidth="1"/>
    <col min="2310" max="2313" width="5.42578125" style="262" customWidth="1"/>
    <col min="2314" max="2314" width="10.42578125" style="262" customWidth="1"/>
    <col min="2315" max="2315" width="7.85546875" style="262" customWidth="1"/>
    <col min="2316" max="2316" width="8.85546875" style="262" customWidth="1"/>
    <col min="2317" max="2317" width="8.42578125" style="262" customWidth="1"/>
    <col min="2318" max="2318" width="4.42578125" style="262" customWidth="1"/>
    <col min="2319" max="2320" width="4.140625" style="262" customWidth="1"/>
    <col min="2321" max="2321" width="6.85546875" style="262" customWidth="1"/>
    <col min="2322" max="2322" width="4.140625" style="262" customWidth="1"/>
    <col min="2323" max="2328" width="4.42578125" style="262" customWidth="1"/>
    <col min="2329" max="2329" width="7" style="262" customWidth="1"/>
    <col min="2330" max="2330" width="0" style="262" hidden="1" customWidth="1"/>
    <col min="2331" max="2334" width="3.5703125" style="262" customWidth="1"/>
    <col min="2335" max="2336" width="3.5703125" style="262"/>
    <col min="2337" max="2338" width="0" style="262" hidden="1" customWidth="1"/>
    <col min="2339" max="2345" width="3.5703125" style="262"/>
    <col min="2346" max="2346" width="5.5703125" style="262" bestFit="1" customWidth="1"/>
    <col min="2347" max="2348" width="3.5703125" style="262"/>
    <col min="2349" max="2349" width="6.5703125" style="262" bestFit="1" customWidth="1"/>
    <col min="2350" max="2350" width="3.5703125" style="262"/>
    <col min="2351" max="2351" width="5.5703125" style="262" bestFit="1" customWidth="1"/>
    <col min="2352" max="2563" width="3.5703125" style="262"/>
    <col min="2564" max="2564" width="11.42578125" style="262" customWidth="1"/>
    <col min="2565" max="2565" width="1.85546875" style="262" customWidth="1"/>
    <col min="2566" max="2569" width="5.42578125" style="262" customWidth="1"/>
    <col min="2570" max="2570" width="10.42578125" style="262" customWidth="1"/>
    <col min="2571" max="2571" width="7.85546875" style="262" customWidth="1"/>
    <col min="2572" max="2572" width="8.85546875" style="262" customWidth="1"/>
    <col min="2573" max="2573" width="8.42578125" style="262" customWidth="1"/>
    <col min="2574" max="2574" width="4.42578125" style="262" customWidth="1"/>
    <col min="2575" max="2576" width="4.140625" style="262" customWidth="1"/>
    <col min="2577" max="2577" width="6.85546875" style="262" customWidth="1"/>
    <col min="2578" max="2578" width="4.140625" style="262" customWidth="1"/>
    <col min="2579" max="2584" width="4.42578125" style="262" customWidth="1"/>
    <col min="2585" max="2585" width="7" style="262" customWidth="1"/>
    <col min="2586" max="2586" width="0" style="262" hidden="1" customWidth="1"/>
    <col min="2587" max="2590" width="3.5703125" style="262" customWidth="1"/>
    <col min="2591" max="2592" width="3.5703125" style="262"/>
    <col min="2593" max="2594" width="0" style="262" hidden="1" customWidth="1"/>
    <col min="2595" max="2601" width="3.5703125" style="262"/>
    <col min="2602" max="2602" width="5.5703125" style="262" bestFit="1" customWidth="1"/>
    <col min="2603" max="2604" width="3.5703125" style="262"/>
    <col min="2605" max="2605" width="6.5703125" style="262" bestFit="1" customWidth="1"/>
    <col min="2606" max="2606" width="3.5703125" style="262"/>
    <col min="2607" max="2607" width="5.5703125" style="262" bestFit="1" customWidth="1"/>
    <col min="2608" max="2819" width="3.5703125" style="262"/>
    <col min="2820" max="2820" width="11.42578125" style="262" customWidth="1"/>
    <col min="2821" max="2821" width="1.85546875" style="262" customWidth="1"/>
    <col min="2822" max="2825" width="5.42578125" style="262" customWidth="1"/>
    <col min="2826" max="2826" width="10.42578125" style="262" customWidth="1"/>
    <col min="2827" max="2827" width="7.85546875" style="262" customWidth="1"/>
    <col min="2828" max="2828" width="8.85546875" style="262" customWidth="1"/>
    <col min="2829" max="2829" width="8.42578125" style="262" customWidth="1"/>
    <col min="2830" max="2830" width="4.42578125" style="262" customWidth="1"/>
    <col min="2831" max="2832" width="4.140625" style="262" customWidth="1"/>
    <col min="2833" max="2833" width="6.85546875" style="262" customWidth="1"/>
    <col min="2834" max="2834" width="4.140625" style="262" customWidth="1"/>
    <col min="2835" max="2840" width="4.42578125" style="262" customWidth="1"/>
    <col min="2841" max="2841" width="7" style="262" customWidth="1"/>
    <col min="2842" max="2842" width="0" style="262" hidden="1" customWidth="1"/>
    <col min="2843" max="2846" width="3.5703125" style="262" customWidth="1"/>
    <col min="2847" max="2848" width="3.5703125" style="262"/>
    <col min="2849" max="2850" width="0" style="262" hidden="1" customWidth="1"/>
    <col min="2851" max="2857" width="3.5703125" style="262"/>
    <col min="2858" max="2858" width="5.5703125" style="262" bestFit="1" customWidth="1"/>
    <col min="2859" max="2860" width="3.5703125" style="262"/>
    <col min="2861" max="2861" width="6.5703125" style="262" bestFit="1" customWidth="1"/>
    <col min="2862" max="2862" width="3.5703125" style="262"/>
    <col min="2863" max="2863" width="5.5703125" style="262" bestFit="1" customWidth="1"/>
    <col min="2864" max="3075" width="3.5703125" style="262"/>
    <col min="3076" max="3076" width="11.42578125" style="262" customWidth="1"/>
    <col min="3077" max="3077" width="1.85546875" style="262" customWidth="1"/>
    <col min="3078" max="3081" width="5.42578125" style="262" customWidth="1"/>
    <col min="3082" max="3082" width="10.42578125" style="262" customWidth="1"/>
    <col min="3083" max="3083" width="7.85546875" style="262" customWidth="1"/>
    <col min="3084" max="3084" width="8.85546875" style="262" customWidth="1"/>
    <col min="3085" max="3085" width="8.42578125" style="262" customWidth="1"/>
    <col min="3086" max="3086" width="4.42578125" style="262" customWidth="1"/>
    <col min="3087" max="3088" width="4.140625" style="262" customWidth="1"/>
    <col min="3089" max="3089" width="6.85546875" style="262" customWidth="1"/>
    <col min="3090" max="3090" width="4.140625" style="262" customWidth="1"/>
    <col min="3091" max="3096" width="4.42578125" style="262" customWidth="1"/>
    <col min="3097" max="3097" width="7" style="262" customWidth="1"/>
    <col min="3098" max="3098" width="0" style="262" hidden="1" customWidth="1"/>
    <col min="3099" max="3102" width="3.5703125" style="262" customWidth="1"/>
    <col min="3103" max="3104" width="3.5703125" style="262"/>
    <col min="3105" max="3106" width="0" style="262" hidden="1" customWidth="1"/>
    <col min="3107" max="3113" width="3.5703125" style="262"/>
    <col min="3114" max="3114" width="5.5703125" style="262" bestFit="1" customWidth="1"/>
    <col min="3115" max="3116" width="3.5703125" style="262"/>
    <col min="3117" max="3117" width="6.5703125" style="262" bestFit="1" customWidth="1"/>
    <col min="3118" max="3118" width="3.5703125" style="262"/>
    <col min="3119" max="3119" width="5.5703125" style="262" bestFit="1" customWidth="1"/>
    <col min="3120" max="3331" width="3.5703125" style="262"/>
    <col min="3332" max="3332" width="11.42578125" style="262" customWidth="1"/>
    <col min="3333" max="3333" width="1.85546875" style="262" customWidth="1"/>
    <col min="3334" max="3337" width="5.42578125" style="262" customWidth="1"/>
    <col min="3338" max="3338" width="10.42578125" style="262" customWidth="1"/>
    <col min="3339" max="3339" width="7.85546875" style="262" customWidth="1"/>
    <col min="3340" max="3340" width="8.85546875" style="262" customWidth="1"/>
    <col min="3341" max="3341" width="8.42578125" style="262" customWidth="1"/>
    <col min="3342" max="3342" width="4.42578125" style="262" customWidth="1"/>
    <col min="3343" max="3344" width="4.140625" style="262" customWidth="1"/>
    <col min="3345" max="3345" width="6.85546875" style="262" customWidth="1"/>
    <col min="3346" max="3346" width="4.140625" style="262" customWidth="1"/>
    <col min="3347" max="3352" width="4.42578125" style="262" customWidth="1"/>
    <col min="3353" max="3353" width="7" style="262" customWidth="1"/>
    <col min="3354" max="3354" width="0" style="262" hidden="1" customWidth="1"/>
    <col min="3355" max="3358" width="3.5703125" style="262" customWidth="1"/>
    <col min="3359" max="3360" width="3.5703125" style="262"/>
    <col min="3361" max="3362" width="0" style="262" hidden="1" customWidth="1"/>
    <col min="3363" max="3369" width="3.5703125" style="262"/>
    <col min="3370" max="3370" width="5.5703125" style="262" bestFit="1" customWidth="1"/>
    <col min="3371" max="3372" width="3.5703125" style="262"/>
    <col min="3373" max="3373" width="6.5703125" style="262" bestFit="1" customWidth="1"/>
    <col min="3374" max="3374" width="3.5703125" style="262"/>
    <col min="3375" max="3375" width="5.5703125" style="262" bestFit="1" customWidth="1"/>
    <col min="3376" max="3587" width="3.5703125" style="262"/>
    <col min="3588" max="3588" width="11.42578125" style="262" customWidth="1"/>
    <col min="3589" max="3589" width="1.85546875" style="262" customWidth="1"/>
    <col min="3590" max="3593" width="5.42578125" style="262" customWidth="1"/>
    <col min="3594" max="3594" width="10.42578125" style="262" customWidth="1"/>
    <col min="3595" max="3595" width="7.85546875" style="262" customWidth="1"/>
    <col min="3596" max="3596" width="8.85546875" style="262" customWidth="1"/>
    <col min="3597" max="3597" width="8.42578125" style="262" customWidth="1"/>
    <col min="3598" max="3598" width="4.42578125" style="262" customWidth="1"/>
    <col min="3599" max="3600" width="4.140625" style="262" customWidth="1"/>
    <col min="3601" max="3601" width="6.85546875" style="262" customWidth="1"/>
    <col min="3602" max="3602" width="4.140625" style="262" customWidth="1"/>
    <col min="3603" max="3608" width="4.42578125" style="262" customWidth="1"/>
    <col min="3609" max="3609" width="7" style="262" customWidth="1"/>
    <col min="3610" max="3610" width="0" style="262" hidden="1" customWidth="1"/>
    <col min="3611" max="3614" width="3.5703125" style="262" customWidth="1"/>
    <col min="3615" max="3616" width="3.5703125" style="262"/>
    <col min="3617" max="3618" width="0" style="262" hidden="1" customWidth="1"/>
    <col min="3619" max="3625" width="3.5703125" style="262"/>
    <col min="3626" max="3626" width="5.5703125" style="262" bestFit="1" customWidth="1"/>
    <col min="3627" max="3628" width="3.5703125" style="262"/>
    <col min="3629" max="3629" width="6.5703125" style="262" bestFit="1" customWidth="1"/>
    <col min="3630" max="3630" width="3.5703125" style="262"/>
    <col min="3631" max="3631" width="5.5703125" style="262" bestFit="1" customWidth="1"/>
    <col min="3632" max="3843" width="3.5703125" style="262"/>
    <col min="3844" max="3844" width="11.42578125" style="262" customWidth="1"/>
    <col min="3845" max="3845" width="1.85546875" style="262" customWidth="1"/>
    <col min="3846" max="3849" width="5.42578125" style="262" customWidth="1"/>
    <col min="3850" max="3850" width="10.42578125" style="262" customWidth="1"/>
    <col min="3851" max="3851" width="7.85546875" style="262" customWidth="1"/>
    <col min="3852" max="3852" width="8.85546875" style="262" customWidth="1"/>
    <col min="3853" max="3853" width="8.42578125" style="262" customWidth="1"/>
    <col min="3854" max="3854" width="4.42578125" style="262" customWidth="1"/>
    <col min="3855" max="3856" width="4.140625" style="262" customWidth="1"/>
    <col min="3857" max="3857" width="6.85546875" style="262" customWidth="1"/>
    <col min="3858" max="3858" width="4.140625" style="262" customWidth="1"/>
    <col min="3859" max="3864" width="4.42578125" style="262" customWidth="1"/>
    <col min="3865" max="3865" width="7" style="262" customWidth="1"/>
    <col min="3866" max="3866" width="0" style="262" hidden="1" customWidth="1"/>
    <col min="3867" max="3870" width="3.5703125" style="262" customWidth="1"/>
    <col min="3871" max="3872" width="3.5703125" style="262"/>
    <col min="3873" max="3874" width="0" style="262" hidden="1" customWidth="1"/>
    <col min="3875" max="3881" width="3.5703125" style="262"/>
    <col min="3882" max="3882" width="5.5703125" style="262" bestFit="1" customWidth="1"/>
    <col min="3883" max="3884" width="3.5703125" style="262"/>
    <col min="3885" max="3885" width="6.5703125" style="262" bestFit="1" customWidth="1"/>
    <col min="3886" max="3886" width="3.5703125" style="262"/>
    <col min="3887" max="3887" width="5.5703125" style="262" bestFit="1" customWidth="1"/>
    <col min="3888" max="4099" width="3.5703125" style="262"/>
    <col min="4100" max="4100" width="11.42578125" style="262" customWidth="1"/>
    <col min="4101" max="4101" width="1.85546875" style="262" customWidth="1"/>
    <col min="4102" max="4105" width="5.42578125" style="262" customWidth="1"/>
    <col min="4106" max="4106" width="10.42578125" style="262" customWidth="1"/>
    <col min="4107" max="4107" width="7.85546875" style="262" customWidth="1"/>
    <col min="4108" max="4108" width="8.85546875" style="262" customWidth="1"/>
    <col min="4109" max="4109" width="8.42578125" style="262" customWidth="1"/>
    <col min="4110" max="4110" width="4.42578125" style="262" customWidth="1"/>
    <col min="4111" max="4112" width="4.140625" style="262" customWidth="1"/>
    <col min="4113" max="4113" width="6.85546875" style="262" customWidth="1"/>
    <col min="4114" max="4114" width="4.140625" style="262" customWidth="1"/>
    <col min="4115" max="4120" width="4.42578125" style="262" customWidth="1"/>
    <col min="4121" max="4121" width="7" style="262" customWidth="1"/>
    <col min="4122" max="4122" width="0" style="262" hidden="1" customWidth="1"/>
    <col min="4123" max="4126" width="3.5703125" style="262" customWidth="1"/>
    <col min="4127" max="4128" width="3.5703125" style="262"/>
    <col min="4129" max="4130" width="0" style="262" hidden="1" customWidth="1"/>
    <col min="4131" max="4137" width="3.5703125" style="262"/>
    <col min="4138" max="4138" width="5.5703125" style="262" bestFit="1" customWidth="1"/>
    <col min="4139" max="4140" width="3.5703125" style="262"/>
    <col min="4141" max="4141" width="6.5703125" style="262" bestFit="1" customWidth="1"/>
    <col min="4142" max="4142" width="3.5703125" style="262"/>
    <col min="4143" max="4143" width="5.5703125" style="262" bestFit="1" customWidth="1"/>
    <col min="4144" max="4355" width="3.5703125" style="262"/>
    <col min="4356" max="4356" width="11.42578125" style="262" customWidth="1"/>
    <col min="4357" max="4357" width="1.85546875" style="262" customWidth="1"/>
    <col min="4358" max="4361" width="5.42578125" style="262" customWidth="1"/>
    <col min="4362" max="4362" width="10.42578125" style="262" customWidth="1"/>
    <col min="4363" max="4363" width="7.85546875" style="262" customWidth="1"/>
    <col min="4364" max="4364" width="8.85546875" style="262" customWidth="1"/>
    <col min="4365" max="4365" width="8.42578125" style="262" customWidth="1"/>
    <col min="4366" max="4366" width="4.42578125" style="262" customWidth="1"/>
    <col min="4367" max="4368" width="4.140625" style="262" customWidth="1"/>
    <col min="4369" max="4369" width="6.85546875" style="262" customWidth="1"/>
    <col min="4370" max="4370" width="4.140625" style="262" customWidth="1"/>
    <col min="4371" max="4376" width="4.42578125" style="262" customWidth="1"/>
    <col min="4377" max="4377" width="7" style="262" customWidth="1"/>
    <col min="4378" max="4378" width="0" style="262" hidden="1" customWidth="1"/>
    <col min="4379" max="4382" width="3.5703125" style="262" customWidth="1"/>
    <col min="4383" max="4384" width="3.5703125" style="262"/>
    <col min="4385" max="4386" width="0" style="262" hidden="1" customWidth="1"/>
    <col min="4387" max="4393" width="3.5703125" style="262"/>
    <col min="4394" max="4394" width="5.5703125" style="262" bestFit="1" customWidth="1"/>
    <col min="4395" max="4396" width="3.5703125" style="262"/>
    <col min="4397" max="4397" width="6.5703125" style="262" bestFit="1" customWidth="1"/>
    <col min="4398" max="4398" width="3.5703125" style="262"/>
    <col min="4399" max="4399" width="5.5703125" style="262" bestFit="1" customWidth="1"/>
    <col min="4400" max="4611" width="3.5703125" style="262"/>
    <col min="4612" max="4612" width="11.42578125" style="262" customWidth="1"/>
    <col min="4613" max="4613" width="1.85546875" style="262" customWidth="1"/>
    <col min="4614" max="4617" width="5.42578125" style="262" customWidth="1"/>
    <col min="4618" max="4618" width="10.42578125" style="262" customWidth="1"/>
    <col min="4619" max="4619" width="7.85546875" style="262" customWidth="1"/>
    <col min="4620" max="4620" width="8.85546875" style="262" customWidth="1"/>
    <col min="4621" max="4621" width="8.42578125" style="262" customWidth="1"/>
    <col min="4622" max="4622" width="4.42578125" style="262" customWidth="1"/>
    <col min="4623" max="4624" width="4.140625" style="262" customWidth="1"/>
    <col min="4625" max="4625" width="6.85546875" style="262" customWidth="1"/>
    <col min="4626" max="4626" width="4.140625" style="262" customWidth="1"/>
    <col min="4627" max="4632" width="4.42578125" style="262" customWidth="1"/>
    <col min="4633" max="4633" width="7" style="262" customWidth="1"/>
    <col min="4634" max="4634" width="0" style="262" hidden="1" customWidth="1"/>
    <col min="4635" max="4638" width="3.5703125" style="262" customWidth="1"/>
    <col min="4639" max="4640" width="3.5703125" style="262"/>
    <col min="4641" max="4642" width="0" style="262" hidden="1" customWidth="1"/>
    <col min="4643" max="4649" width="3.5703125" style="262"/>
    <col min="4650" max="4650" width="5.5703125" style="262" bestFit="1" customWidth="1"/>
    <col min="4651" max="4652" width="3.5703125" style="262"/>
    <col min="4653" max="4653" width="6.5703125" style="262" bestFit="1" customWidth="1"/>
    <col min="4654" max="4654" width="3.5703125" style="262"/>
    <col min="4655" max="4655" width="5.5703125" style="262" bestFit="1" customWidth="1"/>
    <col min="4656" max="4867" width="3.5703125" style="262"/>
    <col min="4868" max="4868" width="11.42578125" style="262" customWidth="1"/>
    <col min="4869" max="4869" width="1.85546875" style="262" customWidth="1"/>
    <col min="4870" max="4873" width="5.42578125" style="262" customWidth="1"/>
    <col min="4874" max="4874" width="10.42578125" style="262" customWidth="1"/>
    <col min="4875" max="4875" width="7.85546875" style="262" customWidth="1"/>
    <col min="4876" max="4876" width="8.85546875" style="262" customWidth="1"/>
    <col min="4877" max="4877" width="8.42578125" style="262" customWidth="1"/>
    <col min="4878" max="4878" width="4.42578125" style="262" customWidth="1"/>
    <col min="4879" max="4880" width="4.140625" style="262" customWidth="1"/>
    <col min="4881" max="4881" width="6.85546875" style="262" customWidth="1"/>
    <col min="4882" max="4882" width="4.140625" style="262" customWidth="1"/>
    <col min="4883" max="4888" width="4.42578125" style="262" customWidth="1"/>
    <col min="4889" max="4889" width="7" style="262" customWidth="1"/>
    <col min="4890" max="4890" width="0" style="262" hidden="1" customWidth="1"/>
    <col min="4891" max="4894" width="3.5703125" style="262" customWidth="1"/>
    <col min="4895" max="4896" width="3.5703125" style="262"/>
    <col min="4897" max="4898" width="0" style="262" hidden="1" customWidth="1"/>
    <col min="4899" max="4905" width="3.5703125" style="262"/>
    <col min="4906" max="4906" width="5.5703125" style="262" bestFit="1" customWidth="1"/>
    <col min="4907" max="4908" width="3.5703125" style="262"/>
    <col min="4909" max="4909" width="6.5703125" style="262" bestFit="1" customWidth="1"/>
    <col min="4910" max="4910" width="3.5703125" style="262"/>
    <col min="4911" max="4911" width="5.5703125" style="262" bestFit="1" customWidth="1"/>
    <col min="4912" max="5123" width="3.5703125" style="262"/>
    <col min="5124" max="5124" width="11.42578125" style="262" customWidth="1"/>
    <col min="5125" max="5125" width="1.85546875" style="262" customWidth="1"/>
    <col min="5126" max="5129" width="5.42578125" style="262" customWidth="1"/>
    <col min="5130" max="5130" width="10.42578125" style="262" customWidth="1"/>
    <col min="5131" max="5131" width="7.85546875" style="262" customWidth="1"/>
    <col min="5132" max="5132" width="8.85546875" style="262" customWidth="1"/>
    <col min="5133" max="5133" width="8.42578125" style="262" customWidth="1"/>
    <col min="5134" max="5134" width="4.42578125" style="262" customWidth="1"/>
    <col min="5135" max="5136" width="4.140625" style="262" customWidth="1"/>
    <col min="5137" max="5137" width="6.85546875" style="262" customWidth="1"/>
    <col min="5138" max="5138" width="4.140625" style="262" customWidth="1"/>
    <col min="5139" max="5144" width="4.42578125" style="262" customWidth="1"/>
    <col min="5145" max="5145" width="7" style="262" customWidth="1"/>
    <col min="5146" max="5146" width="0" style="262" hidden="1" customWidth="1"/>
    <col min="5147" max="5150" width="3.5703125" style="262" customWidth="1"/>
    <col min="5151" max="5152" width="3.5703125" style="262"/>
    <col min="5153" max="5154" width="0" style="262" hidden="1" customWidth="1"/>
    <col min="5155" max="5161" width="3.5703125" style="262"/>
    <col min="5162" max="5162" width="5.5703125" style="262" bestFit="1" customWidth="1"/>
    <col min="5163" max="5164" width="3.5703125" style="262"/>
    <col min="5165" max="5165" width="6.5703125" style="262" bestFit="1" customWidth="1"/>
    <col min="5166" max="5166" width="3.5703125" style="262"/>
    <col min="5167" max="5167" width="5.5703125" style="262" bestFit="1" customWidth="1"/>
    <col min="5168" max="5379" width="3.5703125" style="262"/>
    <col min="5380" max="5380" width="11.42578125" style="262" customWidth="1"/>
    <col min="5381" max="5381" width="1.85546875" style="262" customWidth="1"/>
    <col min="5382" max="5385" width="5.42578125" style="262" customWidth="1"/>
    <col min="5386" max="5386" width="10.42578125" style="262" customWidth="1"/>
    <col min="5387" max="5387" width="7.85546875" style="262" customWidth="1"/>
    <col min="5388" max="5388" width="8.85546875" style="262" customWidth="1"/>
    <col min="5389" max="5389" width="8.42578125" style="262" customWidth="1"/>
    <col min="5390" max="5390" width="4.42578125" style="262" customWidth="1"/>
    <col min="5391" max="5392" width="4.140625" style="262" customWidth="1"/>
    <col min="5393" max="5393" width="6.85546875" style="262" customWidth="1"/>
    <col min="5394" max="5394" width="4.140625" style="262" customWidth="1"/>
    <col min="5395" max="5400" width="4.42578125" style="262" customWidth="1"/>
    <col min="5401" max="5401" width="7" style="262" customWidth="1"/>
    <col min="5402" max="5402" width="0" style="262" hidden="1" customWidth="1"/>
    <col min="5403" max="5406" width="3.5703125" style="262" customWidth="1"/>
    <col min="5407" max="5408" width="3.5703125" style="262"/>
    <col min="5409" max="5410" width="0" style="262" hidden="1" customWidth="1"/>
    <col min="5411" max="5417" width="3.5703125" style="262"/>
    <col min="5418" max="5418" width="5.5703125" style="262" bestFit="1" customWidth="1"/>
    <col min="5419" max="5420" width="3.5703125" style="262"/>
    <col min="5421" max="5421" width="6.5703125" style="262" bestFit="1" customWidth="1"/>
    <col min="5422" max="5422" width="3.5703125" style="262"/>
    <col min="5423" max="5423" width="5.5703125" style="262" bestFit="1" customWidth="1"/>
    <col min="5424" max="5635" width="3.5703125" style="262"/>
    <col min="5636" max="5636" width="11.42578125" style="262" customWidth="1"/>
    <col min="5637" max="5637" width="1.85546875" style="262" customWidth="1"/>
    <col min="5638" max="5641" width="5.42578125" style="262" customWidth="1"/>
    <col min="5642" max="5642" width="10.42578125" style="262" customWidth="1"/>
    <col min="5643" max="5643" width="7.85546875" style="262" customWidth="1"/>
    <col min="5644" max="5644" width="8.85546875" style="262" customWidth="1"/>
    <col min="5645" max="5645" width="8.42578125" style="262" customWidth="1"/>
    <col min="5646" max="5646" width="4.42578125" style="262" customWidth="1"/>
    <col min="5647" max="5648" width="4.140625" style="262" customWidth="1"/>
    <col min="5649" max="5649" width="6.85546875" style="262" customWidth="1"/>
    <col min="5650" max="5650" width="4.140625" style="262" customWidth="1"/>
    <col min="5651" max="5656" width="4.42578125" style="262" customWidth="1"/>
    <col min="5657" max="5657" width="7" style="262" customWidth="1"/>
    <col min="5658" max="5658" width="0" style="262" hidden="1" customWidth="1"/>
    <col min="5659" max="5662" width="3.5703125" style="262" customWidth="1"/>
    <col min="5663" max="5664" width="3.5703125" style="262"/>
    <col min="5665" max="5666" width="0" style="262" hidden="1" customWidth="1"/>
    <col min="5667" max="5673" width="3.5703125" style="262"/>
    <col min="5674" max="5674" width="5.5703125" style="262" bestFit="1" customWidth="1"/>
    <col min="5675" max="5676" width="3.5703125" style="262"/>
    <col min="5677" max="5677" width="6.5703125" style="262" bestFit="1" customWidth="1"/>
    <col min="5678" max="5678" width="3.5703125" style="262"/>
    <col min="5679" max="5679" width="5.5703125" style="262" bestFit="1" customWidth="1"/>
    <col min="5680" max="5891" width="3.5703125" style="262"/>
    <col min="5892" max="5892" width="11.42578125" style="262" customWidth="1"/>
    <col min="5893" max="5893" width="1.85546875" style="262" customWidth="1"/>
    <col min="5894" max="5897" width="5.42578125" style="262" customWidth="1"/>
    <col min="5898" max="5898" width="10.42578125" style="262" customWidth="1"/>
    <col min="5899" max="5899" width="7.85546875" style="262" customWidth="1"/>
    <col min="5900" max="5900" width="8.85546875" style="262" customWidth="1"/>
    <col min="5901" max="5901" width="8.42578125" style="262" customWidth="1"/>
    <col min="5902" max="5902" width="4.42578125" style="262" customWidth="1"/>
    <col min="5903" max="5904" width="4.140625" style="262" customWidth="1"/>
    <col min="5905" max="5905" width="6.85546875" style="262" customWidth="1"/>
    <col min="5906" max="5906" width="4.140625" style="262" customWidth="1"/>
    <col min="5907" max="5912" width="4.42578125" style="262" customWidth="1"/>
    <col min="5913" max="5913" width="7" style="262" customWidth="1"/>
    <col min="5914" max="5914" width="0" style="262" hidden="1" customWidth="1"/>
    <col min="5915" max="5918" width="3.5703125" style="262" customWidth="1"/>
    <col min="5919" max="5920" width="3.5703125" style="262"/>
    <col min="5921" max="5922" width="0" style="262" hidden="1" customWidth="1"/>
    <col min="5923" max="5929" width="3.5703125" style="262"/>
    <col min="5930" max="5930" width="5.5703125" style="262" bestFit="1" customWidth="1"/>
    <col min="5931" max="5932" width="3.5703125" style="262"/>
    <col min="5933" max="5933" width="6.5703125" style="262" bestFit="1" customWidth="1"/>
    <col min="5934" max="5934" width="3.5703125" style="262"/>
    <col min="5935" max="5935" width="5.5703125" style="262" bestFit="1" customWidth="1"/>
    <col min="5936" max="6147" width="3.5703125" style="262"/>
    <col min="6148" max="6148" width="11.42578125" style="262" customWidth="1"/>
    <col min="6149" max="6149" width="1.85546875" style="262" customWidth="1"/>
    <col min="6150" max="6153" width="5.42578125" style="262" customWidth="1"/>
    <col min="6154" max="6154" width="10.42578125" style="262" customWidth="1"/>
    <col min="6155" max="6155" width="7.85546875" style="262" customWidth="1"/>
    <col min="6156" max="6156" width="8.85546875" style="262" customWidth="1"/>
    <col min="6157" max="6157" width="8.42578125" style="262" customWidth="1"/>
    <col min="6158" max="6158" width="4.42578125" style="262" customWidth="1"/>
    <col min="6159" max="6160" width="4.140625" style="262" customWidth="1"/>
    <col min="6161" max="6161" width="6.85546875" style="262" customWidth="1"/>
    <col min="6162" max="6162" width="4.140625" style="262" customWidth="1"/>
    <col min="6163" max="6168" width="4.42578125" style="262" customWidth="1"/>
    <col min="6169" max="6169" width="7" style="262" customWidth="1"/>
    <col min="6170" max="6170" width="0" style="262" hidden="1" customWidth="1"/>
    <col min="6171" max="6174" width="3.5703125" style="262" customWidth="1"/>
    <col min="6175" max="6176" width="3.5703125" style="262"/>
    <col min="6177" max="6178" width="0" style="262" hidden="1" customWidth="1"/>
    <col min="6179" max="6185" width="3.5703125" style="262"/>
    <col min="6186" max="6186" width="5.5703125" style="262" bestFit="1" customWidth="1"/>
    <col min="6187" max="6188" width="3.5703125" style="262"/>
    <col min="6189" max="6189" width="6.5703125" style="262" bestFit="1" customWidth="1"/>
    <col min="6190" max="6190" width="3.5703125" style="262"/>
    <col min="6191" max="6191" width="5.5703125" style="262" bestFit="1" customWidth="1"/>
    <col min="6192" max="6403" width="3.5703125" style="262"/>
    <col min="6404" max="6404" width="11.42578125" style="262" customWidth="1"/>
    <col min="6405" max="6405" width="1.85546875" style="262" customWidth="1"/>
    <col min="6406" max="6409" width="5.42578125" style="262" customWidth="1"/>
    <col min="6410" max="6410" width="10.42578125" style="262" customWidth="1"/>
    <col min="6411" max="6411" width="7.85546875" style="262" customWidth="1"/>
    <col min="6412" max="6412" width="8.85546875" style="262" customWidth="1"/>
    <col min="6413" max="6413" width="8.42578125" style="262" customWidth="1"/>
    <col min="6414" max="6414" width="4.42578125" style="262" customWidth="1"/>
    <col min="6415" max="6416" width="4.140625" style="262" customWidth="1"/>
    <col min="6417" max="6417" width="6.85546875" style="262" customWidth="1"/>
    <col min="6418" max="6418" width="4.140625" style="262" customWidth="1"/>
    <col min="6419" max="6424" width="4.42578125" style="262" customWidth="1"/>
    <col min="6425" max="6425" width="7" style="262" customWidth="1"/>
    <col min="6426" max="6426" width="0" style="262" hidden="1" customWidth="1"/>
    <col min="6427" max="6430" width="3.5703125" style="262" customWidth="1"/>
    <col min="6431" max="6432" width="3.5703125" style="262"/>
    <col min="6433" max="6434" width="0" style="262" hidden="1" customWidth="1"/>
    <col min="6435" max="6441" width="3.5703125" style="262"/>
    <col min="6442" max="6442" width="5.5703125" style="262" bestFit="1" customWidth="1"/>
    <col min="6443" max="6444" width="3.5703125" style="262"/>
    <col min="6445" max="6445" width="6.5703125" style="262" bestFit="1" customWidth="1"/>
    <col min="6446" max="6446" width="3.5703125" style="262"/>
    <col min="6447" max="6447" width="5.5703125" style="262" bestFit="1" customWidth="1"/>
    <col min="6448" max="6659" width="3.5703125" style="262"/>
    <col min="6660" max="6660" width="11.42578125" style="262" customWidth="1"/>
    <col min="6661" max="6661" width="1.85546875" style="262" customWidth="1"/>
    <col min="6662" max="6665" width="5.42578125" style="262" customWidth="1"/>
    <col min="6666" max="6666" width="10.42578125" style="262" customWidth="1"/>
    <col min="6667" max="6667" width="7.85546875" style="262" customWidth="1"/>
    <col min="6668" max="6668" width="8.85546875" style="262" customWidth="1"/>
    <col min="6669" max="6669" width="8.42578125" style="262" customWidth="1"/>
    <col min="6670" max="6670" width="4.42578125" style="262" customWidth="1"/>
    <col min="6671" max="6672" width="4.140625" style="262" customWidth="1"/>
    <col min="6673" max="6673" width="6.85546875" style="262" customWidth="1"/>
    <col min="6674" max="6674" width="4.140625" style="262" customWidth="1"/>
    <col min="6675" max="6680" width="4.42578125" style="262" customWidth="1"/>
    <col min="6681" max="6681" width="7" style="262" customWidth="1"/>
    <col min="6682" max="6682" width="0" style="262" hidden="1" customWidth="1"/>
    <col min="6683" max="6686" width="3.5703125" style="262" customWidth="1"/>
    <col min="6687" max="6688" width="3.5703125" style="262"/>
    <col min="6689" max="6690" width="0" style="262" hidden="1" customWidth="1"/>
    <col min="6691" max="6697" width="3.5703125" style="262"/>
    <col min="6698" max="6698" width="5.5703125" style="262" bestFit="1" customWidth="1"/>
    <col min="6699" max="6700" width="3.5703125" style="262"/>
    <col min="6701" max="6701" width="6.5703125" style="262" bestFit="1" customWidth="1"/>
    <col min="6702" max="6702" width="3.5703125" style="262"/>
    <col min="6703" max="6703" width="5.5703125" style="262" bestFit="1" customWidth="1"/>
    <col min="6704" max="6915" width="3.5703125" style="262"/>
    <col min="6916" max="6916" width="11.42578125" style="262" customWidth="1"/>
    <col min="6917" max="6917" width="1.85546875" style="262" customWidth="1"/>
    <col min="6918" max="6921" width="5.42578125" style="262" customWidth="1"/>
    <col min="6922" max="6922" width="10.42578125" style="262" customWidth="1"/>
    <col min="6923" max="6923" width="7.85546875" style="262" customWidth="1"/>
    <col min="6924" max="6924" width="8.85546875" style="262" customWidth="1"/>
    <col min="6925" max="6925" width="8.42578125" style="262" customWidth="1"/>
    <col min="6926" max="6926" width="4.42578125" style="262" customWidth="1"/>
    <col min="6927" max="6928" width="4.140625" style="262" customWidth="1"/>
    <col min="6929" max="6929" width="6.85546875" style="262" customWidth="1"/>
    <col min="6930" max="6930" width="4.140625" style="262" customWidth="1"/>
    <col min="6931" max="6936" width="4.42578125" style="262" customWidth="1"/>
    <col min="6937" max="6937" width="7" style="262" customWidth="1"/>
    <col min="6938" max="6938" width="0" style="262" hidden="1" customWidth="1"/>
    <col min="6939" max="6942" width="3.5703125" style="262" customWidth="1"/>
    <col min="6943" max="6944" width="3.5703125" style="262"/>
    <col min="6945" max="6946" width="0" style="262" hidden="1" customWidth="1"/>
    <col min="6947" max="6953" width="3.5703125" style="262"/>
    <col min="6954" max="6954" width="5.5703125" style="262" bestFit="1" customWidth="1"/>
    <col min="6955" max="6956" width="3.5703125" style="262"/>
    <col min="6957" max="6957" width="6.5703125" style="262" bestFit="1" customWidth="1"/>
    <col min="6958" max="6958" width="3.5703125" style="262"/>
    <col min="6959" max="6959" width="5.5703125" style="262" bestFit="1" customWidth="1"/>
    <col min="6960" max="7171" width="3.5703125" style="262"/>
    <col min="7172" max="7172" width="11.42578125" style="262" customWidth="1"/>
    <col min="7173" max="7173" width="1.85546875" style="262" customWidth="1"/>
    <col min="7174" max="7177" width="5.42578125" style="262" customWidth="1"/>
    <col min="7178" max="7178" width="10.42578125" style="262" customWidth="1"/>
    <col min="7179" max="7179" width="7.85546875" style="262" customWidth="1"/>
    <col min="7180" max="7180" width="8.85546875" style="262" customWidth="1"/>
    <col min="7181" max="7181" width="8.42578125" style="262" customWidth="1"/>
    <col min="7182" max="7182" width="4.42578125" style="262" customWidth="1"/>
    <col min="7183" max="7184" width="4.140625" style="262" customWidth="1"/>
    <col min="7185" max="7185" width="6.85546875" style="262" customWidth="1"/>
    <col min="7186" max="7186" width="4.140625" style="262" customWidth="1"/>
    <col min="7187" max="7192" width="4.42578125" style="262" customWidth="1"/>
    <col min="7193" max="7193" width="7" style="262" customWidth="1"/>
    <col min="7194" max="7194" width="0" style="262" hidden="1" customWidth="1"/>
    <col min="7195" max="7198" width="3.5703125" style="262" customWidth="1"/>
    <col min="7199" max="7200" width="3.5703125" style="262"/>
    <col min="7201" max="7202" width="0" style="262" hidden="1" customWidth="1"/>
    <col min="7203" max="7209" width="3.5703125" style="262"/>
    <col min="7210" max="7210" width="5.5703125" style="262" bestFit="1" customWidth="1"/>
    <col min="7211" max="7212" width="3.5703125" style="262"/>
    <col min="7213" max="7213" width="6.5703125" style="262" bestFit="1" customWidth="1"/>
    <col min="7214" max="7214" width="3.5703125" style="262"/>
    <col min="7215" max="7215" width="5.5703125" style="262" bestFit="1" customWidth="1"/>
    <col min="7216" max="7427" width="3.5703125" style="262"/>
    <col min="7428" max="7428" width="11.42578125" style="262" customWidth="1"/>
    <col min="7429" max="7429" width="1.85546875" style="262" customWidth="1"/>
    <col min="7430" max="7433" width="5.42578125" style="262" customWidth="1"/>
    <col min="7434" max="7434" width="10.42578125" style="262" customWidth="1"/>
    <col min="7435" max="7435" width="7.85546875" style="262" customWidth="1"/>
    <col min="7436" max="7436" width="8.85546875" style="262" customWidth="1"/>
    <col min="7437" max="7437" width="8.42578125" style="262" customWidth="1"/>
    <col min="7438" max="7438" width="4.42578125" style="262" customWidth="1"/>
    <col min="7439" max="7440" width="4.140625" style="262" customWidth="1"/>
    <col min="7441" max="7441" width="6.85546875" style="262" customWidth="1"/>
    <col min="7442" max="7442" width="4.140625" style="262" customWidth="1"/>
    <col min="7443" max="7448" width="4.42578125" style="262" customWidth="1"/>
    <col min="7449" max="7449" width="7" style="262" customWidth="1"/>
    <col min="7450" max="7450" width="0" style="262" hidden="1" customWidth="1"/>
    <col min="7451" max="7454" width="3.5703125" style="262" customWidth="1"/>
    <col min="7455" max="7456" width="3.5703125" style="262"/>
    <col min="7457" max="7458" width="0" style="262" hidden="1" customWidth="1"/>
    <col min="7459" max="7465" width="3.5703125" style="262"/>
    <col min="7466" max="7466" width="5.5703125" style="262" bestFit="1" customWidth="1"/>
    <col min="7467" max="7468" width="3.5703125" style="262"/>
    <col min="7469" max="7469" width="6.5703125" style="262" bestFit="1" customWidth="1"/>
    <col min="7470" max="7470" width="3.5703125" style="262"/>
    <col min="7471" max="7471" width="5.5703125" style="262" bestFit="1" customWidth="1"/>
    <col min="7472" max="7683" width="3.5703125" style="262"/>
    <col min="7684" max="7684" width="11.42578125" style="262" customWidth="1"/>
    <col min="7685" max="7685" width="1.85546875" style="262" customWidth="1"/>
    <col min="7686" max="7689" width="5.42578125" style="262" customWidth="1"/>
    <col min="7690" max="7690" width="10.42578125" style="262" customWidth="1"/>
    <col min="7691" max="7691" width="7.85546875" style="262" customWidth="1"/>
    <col min="7692" max="7692" width="8.85546875" style="262" customWidth="1"/>
    <col min="7693" max="7693" width="8.42578125" style="262" customWidth="1"/>
    <col min="7694" max="7694" width="4.42578125" style="262" customWidth="1"/>
    <col min="7695" max="7696" width="4.140625" style="262" customWidth="1"/>
    <col min="7697" max="7697" width="6.85546875" style="262" customWidth="1"/>
    <col min="7698" max="7698" width="4.140625" style="262" customWidth="1"/>
    <col min="7699" max="7704" width="4.42578125" style="262" customWidth="1"/>
    <col min="7705" max="7705" width="7" style="262" customWidth="1"/>
    <col min="7706" max="7706" width="0" style="262" hidden="1" customWidth="1"/>
    <col min="7707" max="7710" width="3.5703125" style="262" customWidth="1"/>
    <col min="7711" max="7712" width="3.5703125" style="262"/>
    <col min="7713" max="7714" width="0" style="262" hidden="1" customWidth="1"/>
    <col min="7715" max="7721" width="3.5703125" style="262"/>
    <col min="7722" max="7722" width="5.5703125" style="262" bestFit="1" customWidth="1"/>
    <col min="7723" max="7724" width="3.5703125" style="262"/>
    <col min="7725" max="7725" width="6.5703125" style="262" bestFit="1" customWidth="1"/>
    <col min="7726" max="7726" width="3.5703125" style="262"/>
    <col min="7727" max="7727" width="5.5703125" style="262" bestFit="1" customWidth="1"/>
    <col min="7728" max="7939" width="3.5703125" style="262"/>
    <col min="7940" max="7940" width="11.42578125" style="262" customWidth="1"/>
    <col min="7941" max="7941" width="1.85546875" style="262" customWidth="1"/>
    <col min="7942" max="7945" width="5.42578125" style="262" customWidth="1"/>
    <col min="7946" max="7946" width="10.42578125" style="262" customWidth="1"/>
    <col min="7947" max="7947" width="7.85546875" style="262" customWidth="1"/>
    <col min="7948" max="7948" width="8.85546875" style="262" customWidth="1"/>
    <col min="7949" max="7949" width="8.42578125" style="262" customWidth="1"/>
    <col min="7950" max="7950" width="4.42578125" style="262" customWidth="1"/>
    <col min="7951" max="7952" width="4.140625" style="262" customWidth="1"/>
    <col min="7953" max="7953" width="6.85546875" style="262" customWidth="1"/>
    <col min="7954" max="7954" width="4.140625" style="262" customWidth="1"/>
    <col min="7955" max="7960" width="4.42578125" style="262" customWidth="1"/>
    <col min="7961" max="7961" width="7" style="262" customWidth="1"/>
    <col min="7962" max="7962" width="0" style="262" hidden="1" customWidth="1"/>
    <col min="7963" max="7966" width="3.5703125" style="262" customWidth="1"/>
    <col min="7967" max="7968" width="3.5703125" style="262"/>
    <col min="7969" max="7970" width="0" style="262" hidden="1" customWidth="1"/>
    <col min="7971" max="7977" width="3.5703125" style="262"/>
    <col min="7978" max="7978" width="5.5703125" style="262" bestFit="1" customWidth="1"/>
    <col min="7979" max="7980" width="3.5703125" style="262"/>
    <col min="7981" max="7981" width="6.5703125" style="262" bestFit="1" customWidth="1"/>
    <col min="7982" max="7982" width="3.5703125" style="262"/>
    <col min="7983" max="7983" width="5.5703125" style="262" bestFit="1" customWidth="1"/>
    <col min="7984" max="8195" width="3.5703125" style="262"/>
    <col min="8196" max="8196" width="11.42578125" style="262" customWidth="1"/>
    <col min="8197" max="8197" width="1.85546875" style="262" customWidth="1"/>
    <col min="8198" max="8201" width="5.42578125" style="262" customWidth="1"/>
    <col min="8202" max="8202" width="10.42578125" style="262" customWidth="1"/>
    <col min="8203" max="8203" width="7.85546875" style="262" customWidth="1"/>
    <col min="8204" max="8204" width="8.85546875" style="262" customWidth="1"/>
    <col min="8205" max="8205" width="8.42578125" style="262" customWidth="1"/>
    <col min="8206" max="8206" width="4.42578125" style="262" customWidth="1"/>
    <col min="8207" max="8208" width="4.140625" style="262" customWidth="1"/>
    <col min="8209" max="8209" width="6.85546875" style="262" customWidth="1"/>
    <col min="8210" max="8210" width="4.140625" style="262" customWidth="1"/>
    <col min="8211" max="8216" width="4.42578125" style="262" customWidth="1"/>
    <col min="8217" max="8217" width="7" style="262" customWidth="1"/>
    <col min="8218" max="8218" width="0" style="262" hidden="1" customWidth="1"/>
    <col min="8219" max="8222" width="3.5703125" style="262" customWidth="1"/>
    <col min="8223" max="8224" width="3.5703125" style="262"/>
    <col min="8225" max="8226" width="0" style="262" hidden="1" customWidth="1"/>
    <col min="8227" max="8233" width="3.5703125" style="262"/>
    <col min="8234" max="8234" width="5.5703125" style="262" bestFit="1" customWidth="1"/>
    <col min="8235" max="8236" width="3.5703125" style="262"/>
    <col min="8237" max="8237" width="6.5703125" style="262" bestFit="1" customWidth="1"/>
    <col min="8238" max="8238" width="3.5703125" style="262"/>
    <col min="8239" max="8239" width="5.5703125" style="262" bestFit="1" customWidth="1"/>
    <col min="8240" max="8451" width="3.5703125" style="262"/>
    <col min="8452" max="8452" width="11.42578125" style="262" customWidth="1"/>
    <col min="8453" max="8453" width="1.85546875" style="262" customWidth="1"/>
    <col min="8454" max="8457" width="5.42578125" style="262" customWidth="1"/>
    <col min="8458" max="8458" width="10.42578125" style="262" customWidth="1"/>
    <col min="8459" max="8459" width="7.85546875" style="262" customWidth="1"/>
    <col min="8460" max="8460" width="8.85546875" style="262" customWidth="1"/>
    <col min="8461" max="8461" width="8.42578125" style="262" customWidth="1"/>
    <col min="8462" max="8462" width="4.42578125" style="262" customWidth="1"/>
    <col min="8463" max="8464" width="4.140625" style="262" customWidth="1"/>
    <col min="8465" max="8465" width="6.85546875" style="262" customWidth="1"/>
    <col min="8466" max="8466" width="4.140625" style="262" customWidth="1"/>
    <col min="8467" max="8472" width="4.42578125" style="262" customWidth="1"/>
    <col min="8473" max="8473" width="7" style="262" customWidth="1"/>
    <col min="8474" max="8474" width="0" style="262" hidden="1" customWidth="1"/>
    <col min="8475" max="8478" width="3.5703125" style="262" customWidth="1"/>
    <col min="8479" max="8480" width="3.5703125" style="262"/>
    <col min="8481" max="8482" width="0" style="262" hidden="1" customWidth="1"/>
    <col min="8483" max="8489" width="3.5703125" style="262"/>
    <col min="8490" max="8490" width="5.5703125" style="262" bestFit="1" customWidth="1"/>
    <col min="8491" max="8492" width="3.5703125" style="262"/>
    <col min="8493" max="8493" width="6.5703125" style="262" bestFit="1" customWidth="1"/>
    <col min="8494" max="8494" width="3.5703125" style="262"/>
    <col min="8495" max="8495" width="5.5703125" style="262" bestFit="1" customWidth="1"/>
    <col min="8496" max="8707" width="3.5703125" style="262"/>
    <col min="8708" max="8708" width="11.42578125" style="262" customWidth="1"/>
    <col min="8709" max="8709" width="1.85546875" style="262" customWidth="1"/>
    <col min="8710" max="8713" width="5.42578125" style="262" customWidth="1"/>
    <col min="8714" max="8714" width="10.42578125" style="262" customWidth="1"/>
    <col min="8715" max="8715" width="7.85546875" style="262" customWidth="1"/>
    <col min="8716" max="8716" width="8.85546875" style="262" customWidth="1"/>
    <col min="8717" max="8717" width="8.42578125" style="262" customWidth="1"/>
    <col min="8718" max="8718" width="4.42578125" style="262" customWidth="1"/>
    <col min="8719" max="8720" width="4.140625" style="262" customWidth="1"/>
    <col min="8721" max="8721" width="6.85546875" style="262" customWidth="1"/>
    <col min="8722" max="8722" width="4.140625" style="262" customWidth="1"/>
    <col min="8723" max="8728" width="4.42578125" style="262" customWidth="1"/>
    <col min="8729" max="8729" width="7" style="262" customWidth="1"/>
    <col min="8730" max="8730" width="0" style="262" hidden="1" customWidth="1"/>
    <col min="8731" max="8734" width="3.5703125" style="262" customWidth="1"/>
    <col min="8735" max="8736" width="3.5703125" style="262"/>
    <col min="8737" max="8738" width="0" style="262" hidden="1" customWidth="1"/>
    <col min="8739" max="8745" width="3.5703125" style="262"/>
    <col min="8746" max="8746" width="5.5703125" style="262" bestFit="1" customWidth="1"/>
    <col min="8747" max="8748" width="3.5703125" style="262"/>
    <col min="8749" max="8749" width="6.5703125" style="262" bestFit="1" customWidth="1"/>
    <col min="8750" max="8750" width="3.5703125" style="262"/>
    <col min="8751" max="8751" width="5.5703125" style="262" bestFit="1" customWidth="1"/>
    <col min="8752" max="8963" width="3.5703125" style="262"/>
    <col min="8964" max="8964" width="11.42578125" style="262" customWidth="1"/>
    <col min="8965" max="8965" width="1.85546875" style="262" customWidth="1"/>
    <col min="8966" max="8969" width="5.42578125" style="262" customWidth="1"/>
    <col min="8970" max="8970" width="10.42578125" style="262" customWidth="1"/>
    <col min="8971" max="8971" width="7.85546875" style="262" customWidth="1"/>
    <col min="8972" max="8972" width="8.85546875" style="262" customWidth="1"/>
    <col min="8973" max="8973" width="8.42578125" style="262" customWidth="1"/>
    <col min="8974" max="8974" width="4.42578125" style="262" customWidth="1"/>
    <col min="8975" max="8976" width="4.140625" style="262" customWidth="1"/>
    <col min="8977" max="8977" width="6.85546875" style="262" customWidth="1"/>
    <col min="8978" max="8978" width="4.140625" style="262" customWidth="1"/>
    <col min="8979" max="8984" width="4.42578125" style="262" customWidth="1"/>
    <col min="8985" max="8985" width="7" style="262" customWidth="1"/>
    <col min="8986" max="8986" width="0" style="262" hidden="1" customWidth="1"/>
    <col min="8987" max="8990" width="3.5703125" style="262" customWidth="1"/>
    <col min="8991" max="8992" width="3.5703125" style="262"/>
    <col min="8993" max="8994" width="0" style="262" hidden="1" customWidth="1"/>
    <col min="8995" max="9001" width="3.5703125" style="262"/>
    <col min="9002" max="9002" width="5.5703125" style="262" bestFit="1" customWidth="1"/>
    <col min="9003" max="9004" width="3.5703125" style="262"/>
    <col min="9005" max="9005" width="6.5703125" style="262" bestFit="1" customWidth="1"/>
    <col min="9006" max="9006" width="3.5703125" style="262"/>
    <col min="9007" max="9007" width="5.5703125" style="262" bestFit="1" customWidth="1"/>
    <col min="9008" max="9219" width="3.5703125" style="262"/>
    <col min="9220" max="9220" width="11.42578125" style="262" customWidth="1"/>
    <col min="9221" max="9221" width="1.85546875" style="262" customWidth="1"/>
    <col min="9222" max="9225" width="5.42578125" style="262" customWidth="1"/>
    <col min="9226" max="9226" width="10.42578125" style="262" customWidth="1"/>
    <col min="9227" max="9227" width="7.85546875" style="262" customWidth="1"/>
    <col min="9228" max="9228" width="8.85546875" style="262" customWidth="1"/>
    <col min="9229" max="9229" width="8.42578125" style="262" customWidth="1"/>
    <col min="9230" max="9230" width="4.42578125" style="262" customWidth="1"/>
    <col min="9231" max="9232" width="4.140625" style="262" customWidth="1"/>
    <col min="9233" max="9233" width="6.85546875" style="262" customWidth="1"/>
    <col min="9234" max="9234" width="4.140625" style="262" customWidth="1"/>
    <col min="9235" max="9240" width="4.42578125" style="262" customWidth="1"/>
    <col min="9241" max="9241" width="7" style="262" customWidth="1"/>
    <col min="9242" max="9242" width="0" style="262" hidden="1" customWidth="1"/>
    <col min="9243" max="9246" width="3.5703125" style="262" customWidth="1"/>
    <col min="9247" max="9248" width="3.5703125" style="262"/>
    <col min="9249" max="9250" width="0" style="262" hidden="1" customWidth="1"/>
    <col min="9251" max="9257" width="3.5703125" style="262"/>
    <col min="9258" max="9258" width="5.5703125" style="262" bestFit="1" customWidth="1"/>
    <col min="9259" max="9260" width="3.5703125" style="262"/>
    <col min="9261" max="9261" width="6.5703125" style="262" bestFit="1" customWidth="1"/>
    <col min="9262" max="9262" width="3.5703125" style="262"/>
    <col min="9263" max="9263" width="5.5703125" style="262" bestFit="1" customWidth="1"/>
    <col min="9264" max="9475" width="3.5703125" style="262"/>
    <col min="9476" max="9476" width="11.42578125" style="262" customWidth="1"/>
    <col min="9477" max="9477" width="1.85546875" style="262" customWidth="1"/>
    <col min="9478" max="9481" width="5.42578125" style="262" customWidth="1"/>
    <col min="9482" max="9482" width="10.42578125" style="262" customWidth="1"/>
    <col min="9483" max="9483" width="7.85546875" style="262" customWidth="1"/>
    <col min="9484" max="9484" width="8.85546875" style="262" customWidth="1"/>
    <col min="9485" max="9485" width="8.42578125" style="262" customWidth="1"/>
    <col min="9486" max="9486" width="4.42578125" style="262" customWidth="1"/>
    <col min="9487" max="9488" width="4.140625" style="262" customWidth="1"/>
    <col min="9489" max="9489" width="6.85546875" style="262" customWidth="1"/>
    <col min="9490" max="9490" width="4.140625" style="262" customWidth="1"/>
    <col min="9491" max="9496" width="4.42578125" style="262" customWidth="1"/>
    <col min="9497" max="9497" width="7" style="262" customWidth="1"/>
    <col min="9498" max="9498" width="0" style="262" hidden="1" customWidth="1"/>
    <col min="9499" max="9502" width="3.5703125" style="262" customWidth="1"/>
    <col min="9503" max="9504" width="3.5703125" style="262"/>
    <col min="9505" max="9506" width="0" style="262" hidden="1" customWidth="1"/>
    <col min="9507" max="9513" width="3.5703125" style="262"/>
    <col min="9514" max="9514" width="5.5703125" style="262" bestFit="1" customWidth="1"/>
    <col min="9515" max="9516" width="3.5703125" style="262"/>
    <col min="9517" max="9517" width="6.5703125" style="262" bestFit="1" customWidth="1"/>
    <col min="9518" max="9518" width="3.5703125" style="262"/>
    <col min="9519" max="9519" width="5.5703125" style="262" bestFit="1" customWidth="1"/>
    <col min="9520" max="9731" width="3.5703125" style="262"/>
    <col min="9732" max="9732" width="11.42578125" style="262" customWidth="1"/>
    <col min="9733" max="9733" width="1.85546875" style="262" customWidth="1"/>
    <col min="9734" max="9737" width="5.42578125" style="262" customWidth="1"/>
    <col min="9738" max="9738" width="10.42578125" style="262" customWidth="1"/>
    <col min="9739" max="9739" width="7.85546875" style="262" customWidth="1"/>
    <col min="9740" max="9740" width="8.85546875" style="262" customWidth="1"/>
    <col min="9741" max="9741" width="8.42578125" style="262" customWidth="1"/>
    <col min="9742" max="9742" width="4.42578125" style="262" customWidth="1"/>
    <col min="9743" max="9744" width="4.140625" style="262" customWidth="1"/>
    <col min="9745" max="9745" width="6.85546875" style="262" customWidth="1"/>
    <col min="9746" max="9746" width="4.140625" style="262" customWidth="1"/>
    <col min="9747" max="9752" width="4.42578125" style="262" customWidth="1"/>
    <col min="9753" max="9753" width="7" style="262" customWidth="1"/>
    <col min="9754" max="9754" width="0" style="262" hidden="1" customWidth="1"/>
    <col min="9755" max="9758" width="3.5703125" style="262" customWidth="1"/>
    <col min="9759" max="9760" width="3.5703125" style="262"/>
    <col min="9761" max="9762" width="0" style="262" hidden="1" customWidth="1"/>
    <col min="9763" max="9769" width="3.5703125" style="262"/>
    <col min="9770" max="9770" width="5.5703125" style="262" bestFit="1" customWidth="1"/>
    <col min="9771" max="9772" width="3.5703125" style="262"/>
    <col min="9773" max="9773" width="6.5703125" style="262" bestFit="1" customWidth="1"/>
    <col min="9774" max="9774" width="3.5703125" style="262"/>
    <col min="9775" max="9775" width="5.5703125" style="262" bestFit="1" customWidth="1"/>
    <col min="9776" max="9987" width="3.5703125" style="262"/>
    <col min="9988" max="9988" width="11.42578125" style="262" customWidth="1"/>
    <col min="9989" max="9989" width="1.85546875" style="262" customWidth="1"/>
    <col min="9990" max="9993" width="5.42578125" style="262" customWidth="1"/>
    <col min="9994" max="9994" width="10.42578125" style="262" customWidth="1"/>
    <col min="9995" max="9995" width="7.85546875" style="262" customWidth="1"/>
    <col min="9996" max="9996" width="8.85546875" style="262" customWidth="1"/>
    <col min="9997" max="9997" width="8.42578125" style="262" customWidth="1"/>
    <col min="9998" max="9998" width="4.42578125" style="262" customWidth="1"/>
    <col min="9999" max="10000" width="4.140625" style="262" customWidth="1"/>
    <col min="10001" max="10001" width="6.85546875" style="262" customWidth="1"/>
    <col min="10002" max="10002" width="4.140625" style="262" customWidth="1"/>
    <col min="10003" max="10008" width="4.42578125" style="262" customWidth="1"/>
    <col min="10009" max="10009" width="7" style="262" customWidth="1"/>
    <col min="10010" max="10010" width="0" style="262" hidden="1" customWidth="1"/>
    <col min="10011" max="10014" width="3.5703125" style="262" customWidth="1"/>
    <col min="10015" max="10016" width="3.5703125" style="262"/>
    <col min="10017" max="10018" width="0" style="262" hidden="1" customWidth="1"/>
    <col min="10019" max="10025" width="3.5703125" style="262"/>
    <col min="10026" max="10026" width="5.5703125" style="262" bestFit="1" customWidth="1"/>
    <col min="10027" max="10028" width="3.5703125" style="262"/>
    <col min="10029" max="10029" width="6.5703125" style="262" bestFit="1" customWidth="1"/>
    <col min="10030" max="10030" width="3.5703125" style="262"/>
    <col min="10031" max="10031" width="5.5703125" style="262" bestFit="1" customWidth="1"/>
    <col min="10032" max="10243" width="3.5703125" style="262"/>
    <col min="10244" max="10244" width="11.42578125" style="262" customWidth="1"/>
    <col min="10245" max="10245" width="1.85546875" style="262" customWidth="1"/>
    <col min="10246" max="10249" width="5.42578125" style="262" customWidth="1"/>
    <col min="10250" max="10250" width="10.42578125" style="262" customWidth="1"/>
    <col min="10251" max="10251" width="7.85546875" style="262" customWidth="1"/>
    <col min="10252" max="10252" width="8.85546875" style="262" customWidth="1"/>
    <col min="10253" max="10253" width="8.42578125" style="262" customWidth="1"/>
    <col min="10254" max="10254" width="4.42578125" style="262" customWidth="1"/>
    <col min="10255" max="10256" width="4.140625" style="262" customWidth="1"/>
    <col min="10257" max="10257" width="6.85546875" style="262" customWidth="1"/>
    <col min="10258" max="10258" width="4.140625" style="262" customWidth="1"/>
    <col min="10259" max="10264" width="4.42578125" style="262" customWidth="1"/>
    <col min="10265" max="10265" width="7" style="262" customWidth="1"/>
    <col min="10266" max="10266" width="0" style="262" hidden="1" customWidth="1"/>
    <col min="10267" max="10270" width="3.5703125" style="262" customWidth="1"/>
    <col min="10271" max="10272" width="3.5703125" style="262"/>
    <col min="10273" max="10274" width="0" style="262" hidden="1" customWidth="1"/>
    <col min="10275" max="10281" width="3.5703125" style="262"/>
    <col min="10282" max="10282" width="5.5703125" style="262" bestFit="1" customWidth="1"/>
    <col min="10283" max="10284" width="3.5703125" style="262"/>
    <col min="10285" max="10285" width="6.5703125" style="262" bestFit="1" customWidth="1"/>
    <col min="10286" max="10286" width="3.5703125" style="262"/>
    <col min="10287" max="10287" width="5.5703125" style="262" bestFit="1" customWidth="1"/>
    <col min="10288" max="10499" width="3.5703125" style="262"/>
    <col min="10500" max="10500" width="11.42578125" style="262" customWidth="1"/>
    <col min="10501" max="10501" width="1.85546875" style="262" customWidth="1"/>
    <col min="10502" max="10505" width="5.42578125" style="262" customWidth="1"/>
    <col min="10506" max="10506" width="10.42578125" style="262" customWidth="1"/>
    <col min="10507" max="10507" width="7.85546875" style="262" customWidth="1"/>
    <col min="10508" max="10508" width="8.85546875" style="262" customWidth="1"/>
    <col min="10509" max="10509" width="8.42578125" style="262" customWidth="1"/>
    <col min="10510" max="10510" width="4.42578125" style="262" customWidth="1"/>
    <col min="10511" max="10512" width="4.140625" style="262" customWidth="1"/>
    <col min="10513" max="10513" width="6.85546875" style="262" customWidth="1"/>
    <col min="10514" max="10514" width="4.140625" style="262" customWidth="1"/>
    <col min="10515" max="10520" width="4.42578125" style="262" customWidth="1"/>
    <col min="10521" max="10521" width="7" style="262" customWidth="1"/>
    <col min="10522" max="10522" width="0" style="262" hidden="1" customWidth="1"/>
    <col min="10523" max="10526" width="3.5703125" style="262" customWidth="1"/>
    <col min="10527" max="10528" width="3.5703125" style="262"/>
    <col min="10529" max="10530" width="0" style="262" hidden="1" customWidth="1"/>
    <col min="10531" max="10537" width="3.5703125" style="262"/>
    <col min="10538" max="10538" width="5.5703125" style="262" bestFit="1" customWidth="1"/>
    <col min="10539" max="10540" width="3.5703125" style="262"/>
    <col min="10541" max="10541" width="6.5703125" style="262" bestFit="1" customWidth="1"/>
    <col min="10542" max="10542" width="3.5703125" style="262"/>
    <col min="10543" max="10543" width="5.5703125" style="262" bestFit="1" customWidth="1"/>
    <col min="10544" max="10755" width="3.5703125" style="262"/>
    <col min="10756" max="10756" width="11.42578125" style="262" customWidth="1"/>
    <col min="10757" max="10757" width="1.85546875" style="262" customWidth="1"/>
    <col min="10758" max="10761" width="5.42578125" style="262" customWidth="1"/>
    <col min="10762" max="10762" width="10.42578125" style="262" customWidth="1"/>
    <col min="10763" max="10763" width="7.85546875" style="262" customWidth="1"/>
    <col min="10764" max="10764" width="8.85546875" style="262" customWidth="1"/>
    <col min="10765" max="10765" width="8.42578125" style="262" customWidth="1"/>
    <col min="10766" max="10766" width="4.42578125" style="262" customWidth="1"/>
    <col min="10767" max="10768" width="4.140625" style="262" customWidth="1"/>
    <col min="10769" max="10769" width="6.85546875" style="262" customWidth="1"/>
    <col min="10770" max="10770" width="4.140625" style="262" customWidth="1"/>
    <col min="10771" max="10776" width="4.42578125" style="262" customWidth="1"/>
    <col min="10777" max="10777" width="7" style="262" customWidth="1"/>
    <col min="10778" max="10778" width="0" style="262" hidden="1" customWidth="1"/>
    <col min="10779" max="10782" width="3.5703125" style="262" customWidth="1"/>
    <col min="10783" max="10784" width="3.5703125" style="262"/>
    <col min="10785" max="10786" width="0" style="262" hidden="1" customWidth="1"/>
    <col min="10787" max="10793" width="3.5703125" style="262"/>
    <col min="10794" max="10794" width="5.5703125" style="262" bestFit="1" customWidth="1"/>
    <col min="10795" max="10796" width="3.5703125" style="262"/>
    <col min="10797" max="10797" width="6.5703125" style="262" bestFit="1" customWidth="1"/>
    <col min="10798" max="10798" width="3.5703125" style="262"/>
    <col min="10799" max="10799" width="5.5703125" style="262" bestFit="1" customWidth="1"/>
    <col min="10800" max="11011" width="3.5703125" style="262"/>
    <col min="11012" max="11012" width="11.42578125" style="262" customWidth="1"/>
    <col min="11013" max="11013" width="1.85546875" style="262" customWidth="1"/>
    <col min="11014" max="11017" width="5.42578125" style="262" customWidth="1"/>
    <col min="11018" max="11018" width="10.42578125" style="262" customWidth="1"/>
    <col min="11019" max="11019" width="7.85546875" style="262" customWidth="1"/>
    <col min="11020" max="11020" width="8.85546875" style="262" customWidth="1"/>
    <col min="11021" max="11021" width="8.42578125" style="262" customWidth="1"/>
    <col min="11022" max="11022" width="4.42578125" style="262" customWidth="1"/>
    <col min="11023" max="11024" width="4.140625" style="262" customWidth="1"/>
    <col min="11025" max="11025" width="6.85546875" style="262" customWidth="1"/>
    <col min="11026" max="11026" width="4.140625" style="262" customWidth="1"/>
    <col min="11027" max="11032" width="4.42578125" style="262" customWidth="1"/>
    <col min="11033" max="11033" width="7" style="262" customWidth="1"/>
    <col min="11034" max="11034" width="0" style="262" hidden="1" customWidth="1"/>
    <col min="11035" max="11038" width="3.5703125" style="262" customWidth="1"/>
    <col min="11039" max="11040" width="3.5703125" style="262"/>
    <col min="11041" max="11042" width="0" style="262" hidden="1" customWidth="1"/>
    <col min="11043" max="11049" width="3.5703125" style="262"/>
    <col min="11050" max="11050" width="5.5703125" style="262" bestFit="1" customWidth="1"/>
    <col min="11051" max="11052" width="3.5703125" style="262"/>
    <col min="11053" max="11053" width="6.5703125" style="262" bestFit="1" customWidth="1"/>
    <col min="11054" max="11054" width="3.5703125" style="262"/>
    <col min="11055" max="11055" width="5.5703125" style="262" bestFit="1" customWidth="1"/>
    <col min="11056" max="11267" width="3.5703125" style="262"/>
    <col min="11268" max="11268" width="11.42578125" style="262" customWidth="1"/>
    <col min="11269" max="11269" width="1.85546875" style="262" customWidth="1"/>
    <col min="11270" max="11273" width="5.42578125" style="262" customWidth="1"/>
    <col min="11274" max="11274" width="10.42578125" style="262" customWidth="1"/>
    <col min="11275" max="11275" width="7.85546875" style="262" customWidth="1"/>
    <col min="11276" max="11276" width="8.85546875" style="262" customWidth="1"/>
    <col min="11277" max="11277" width="8.42578125" style="262" customWidth="1"/>
    <col min="11278" max="11278" width="4.42578125" style="262" customWidth="1"/>
    <col min="11279" max="11280" width="4.140625" style="262" customWidth="1"/>
    <col min="11281" max="11281" width="6.85546875" style="262" customWidth="1"/>
    <col min="11282" max="11282" width="4.140625" style="262" customWidth="1"/>
    <col min="11283" max="11288" width="4.42578125" style="262" customWidth="1"/>
    <col min="11289" max="11289" width="7" style="262" customWidth="1"/>
    <col min="11290" max="11290" width="0" style="262" hidden="1" customWidth="1"/>
    <col min="11291" max="11294" width="3.5703125" style="262" customWidth="1"/>
    <col min="11295" max="11296" width="3.5703125" style="262"/>
    <col min="11297" max="11298" width="0" style="262" hidden="1" customWidth="1"/>
    <col min="11299" max="11305" width="3.5703125" style="262"/>
    <col min="11306" max="11306" width="5.5703125" style="262" bestFit="1" customWidth="1"/>
    <col min="11307" max="11308" width="3.5703125" style="262"/>
    <col min="11309" max="11309" width="6.5703125" style="262" bestFit="1" customWidth="1"/>
    <col min="11310" max="11310" width="3.5703125" style="262"/>
    <col min="11311" max="11311" width="5.5703125" style="262" bestFit="1" customWidth="1"/>
    <col min="11312" max="11523" width="3.5703125" style="262"/>
    <col min="11524" max="11524" width="11.42578125" style="262" customWidth="1"/>
    <col min="11525" max="11525" width="1.85546875" style="262" customWidth="1"/>
    <col min="11526" max="11529" width="5.42578125" style="262" customWidth="1"/>
    <col min="11530" max="11530" width="10.42578125" style="262" customWidth="1"/>
    <col min="11531" max="11531" width="7.85546875" style="262" customWidth="1"/>
    <col min="11532" max="11532" width="8.85546875" style="262" customWidth="1"/>
    <col min="11533" max="11533" width="8.42578125" style="262" customWidth="1"/>
    <col min="11534" max="11534" width="4.42578125" style="262" customWidth="1"/>
    <col min="11535" max="11536" width="4.140625" style="262" customWidth="1"/>
    <col min="11537" max="11537" width="6.85546875" style="262" customWidth="1"/>
    <col min="11538" max="11538" width="4.140625" style="262" customWidth="1"/>
    <col min="11539" max="11544" width="4.42578125" style="262" customWidth="1"/>
    <col min="11545" max="11545" width="7" style="262" customWidth="1"/>
    <col min="11546" max="11546" width="0" style="262" hidden="1" customWidth="1"/>
    <col min="11547" max="11550" width="3.5703125" style="262" customWidth="1"/>
    <col min="11551" max="11552" width="3.5703125" style="262"/>
    <col min="11553" max="11554" width="0" style="262" hidden="1" customWidth="1"/>
    <col min="11555" max="11561" width="3.5703125" style="262"/>
    <col min="11562" max="11562" width="5.5703125" style="262" bestFit="1" customWidth="1"/>
    <col min="11563" max="11564" width="3.5703125" style="262"/>
    <col min="11565" max="11565" width="6.5703125" style="262" bestFit="1" customWidth="1"/>
    <col min="11566" max="11566" width="3.5703125" style="262"/>
    <col min="11567" max="11567" width="5.5703125" style="262" bestFit="1" customWidth="1"/>
    <col min="11568" max="11779" width="3.5703125" style="262"/>
    <col min="11780" max="11780" width="11.42578125" style="262" customWidth="1"/>
    <col min="11781" max="11781" width="1.85546875" style="262" customWidth="1"/>
    <col min="11782" max="11785" width="5.42578125" style="262" customWidth="1"/>
    <col min="11786" max="11786" width="10.42578125" style="262" customWidth="1"/>
    <col min="11787" max="11787" width="7.85546875" style="262" customWidth="1"/>
    <col min="11788" max="11788" width="8.85546875" style="262" customWidth="1"/>
    <col min="11789" max="11789" width="8.42578125" style="262" customWidth="1"/>
    <col min="11790" max="11790" width="4.42578125" style="262" customWidth="1"/>
    <col min="11791" max="11792" width="4.140625" style="262" customWidth="1"/>
    <col min="11793" max="11793" width="6.85546875" style="262" customWidth="1"/>
    <col min="11794" max="11794" width="4.140625" style="262" customWidth="1"/>
    <col min="11795" max="11800" width="4.42578125" style="262" customWidth="1"/>
    <col min="11801" max="11801" width="7" style="262" customWidth="1"/>
    <col min="11802" max="11802" width="0" style="262" hidden="1" customWidth="1"/>
    <col min="11803" max="11806" width="3.5703125" style="262" customWidth="1"/>
    <col min="11807" max="11808" width="3.5703125" style="262"/>
    <col min="11809" max="11810" width="0" style="262" hidden="1" customWidth="1"/>
    <col min="11811" max="11817" width="3.5703125" style="262"/>
    <col min="11818" max="11818" width="5.5703125" style="262" bestFit="1" customWidth="1"/>
    <col min="11819" max="11820" width="3.5703125" style="262"/>
    <col min="11821" max="11821" width="6.5703125" style="262" bestFit="1" customWidth="1"/>
    <col min="11822" max="11822" width="3.5703125" style="262"/>
    <col min="11823" max="11823" width="5.5703125" style="262" bestFit="1" customWidth="1"/>
    <col min="11824" max="12035" width="3.5703125" style="262"/>
    <col min="12036" max="12036" width="11.42578125" style="262" customWidth="1"/>
    <col min="12037" max="12037" width="1.85546875" style="262" customWidth="1"/>
    <col min="12038" max="12041" width="5.42578125" style="262" customWidth="1"/>
    <col min="12042" max="12042" width="10.42578125" style="262" customWidth="1"/>
    <col min="12043" max="12043" width="7.85546875" style="262" customWidth="1"/>
    <col min="12044" max="12044" width="8.85546875" style="262" customWidth="1"/>
    <col min="12045" max="12045" width="8.42578125" style="262" customWidth="1"/>
    <col min="12046" max="12046" width="4.42578125" style="262" customWidth="1"/>
    <col min="12047" max="12048" width="4.140625" style="262" customWidth="1"/>
    <col min="12049" max="12049" width="6.85546875" style="262" customWidth="1"/>
    <col min="12050" max="12050" width="4.140625" style="262" customWidth="1"/>
    <col min="12051" max="12056" width="4.42578125" style="262" customWidth="1"/>
    <col min="12057" max="12057" width="7" style="262" customWidth="1"/>
    <col min="12058" max="12058" width="0" style="262" hidden="1" customWidth="1"/>
    <col min="12059" max="12062" width="3.5703125" style="262" customWidth="1"/>
    <col min="12063" max="12064" width="3.5703125" style="262"/>
    <col min="12065" max="12066" width="0" style="262" hidden="1" customWidth="1"/>
    <col min="12067" max="12073" width="3.5703125" style="262"/>
    <col min="12074" max="12074" width="5.5703125" style="262" bestFit="1" customWidth="1"/>
    <col min="12075" max="12076" width="3.5703125" style="262"/>
    <col min="12077" max="12077" width="6.5703125" style="262" bestFit="1" customWidth="1"/>
    <col min="12078" max="12078" width="3.5703125" style="262"/>
    <col min="12079" max="12079" width="5.5703125" style="262" bestFit="1" customWidth="1"/>
    <col min="12080" max="12291" width="3.5703125" style="262"/>
    <col min="12292" max="12292" width="11.42578125" style="262" customWidth="1"/>
    <col min="12293" max="12293" width="1.85546875" style="262" customWidth="1"/>
    <col min="12294" max="12297" width="5.42578125" style="262" customWidth="1"/>
    <col min="12298" max="12298" width="10.42578125" style="262" customWidth="1"/>
    <col min="12299" max="12299" width="7.85546875" style="262" customWidth="1"/>
    <col min="12300" max="12300" width="8.85546875" style="262" customWidth="1"/>
    <col min="12301" max="12301" width="8.42578125" style="262" customWidth="1"/>
    <col min="12302" max="12302" width="4.42578125" style="262" customWidth="1"/>
    <col min="12303" max="12304" width="4.140625" style="262" customWidth="1"/>
    <col min="12305" max="12305" width="6.85546875" style="262" customWidth="1"/>
    <col min="12306" max="12306" width="4.140625" style="262" customWidth="1"/>
    <col min="12307" max="12312" width="4.42578125" style="262" customWidth="1"/>
    <col min="12313" max="12313" width="7" style="262" customWidth="1"/>
    <col min="12314" max="12314" width="0" style="262" hidden="1" customWidth="1"/>
    <col min="12315" max="12318" width="3.5703125" style="262" customWidth="1"/>
    <col min="12319" max="12320" width="3.5703125" style="262"/>
    <col min="12321" max="12322" width="0" style="262" hidden="1" customWidth="1"/>
    <col min="12323" max="12329" width="3.5703125" style="262"/>
    <col min="12330" max="12330" width="5.5703125" style="262" bestFit="1" customWidth="1"/>
    <col min="12331" max="12332" width="3.5703125" style="262"/>
    <col min="12333" max="12333" width="6.5703125" style="262" bestFit="1" customWidth="1"/>
    <col min="12334" max="12334" width="3.5703125" style="262"/>
    <col min="12335" max="12335" width="5.5703125" style="262" bestFit="1" customWidth="1"/>
    <col min="12336" max="12547" width="3.5703125" style="262"/>
    <col min="12548" max="12548" width="11.42578125" style="262" customWidth="1"/>
    <col min="12549" max="12549" width="1.85546875" style="262" customWidth="1"/>
    <col min="12550" max="12553" width="5.42578125" style="262" customWidth="1"/>
    <col min="12554" max="12554" width="10.42578125" style="262" customWidth="1"/>
    <col min="12555" max="12555" width="7.85546875" style="262" customWidth="1"/>
    <col min="12556" max="12556" width="8.85546875" style="262" customWidth="1"/>
    <col min="12557" max="12557" width="8.42578125" style="262" customWidth="1"/>
    <col min="12558" max="12558" width="4.42578125" style="262" customWidth="1"/>
    <col min="12559" max="12560" width="4.140625" style="262" customWidth="1"/>
    <col min="12561" max="12561" width="6.85546875" style="262" customWidth="1"/>
    <col min="12562" max="12562" width="4.140625" style="262" customWidth="1"/>
    <col min="12563" max="12568" width="4.42578125" style="262" customWidth="1"/>
    <col min="12569" max="12569" width="7" style="262" customWidth="1"/>
    <col min="12570" max="12570" width="0" style="262" hidden="1" customWidth="1"/>
    <col min="12571" max="12574" width="3.5703125" style="262" customWidth="1"/>
    <col min="12575" max="12576" width="3.5703125" style="262"/>
    <col min="12577" max="12578" width="0" style="262" hidden="1" customWidth="1"/>
    <col min="12579" max="12585" width="3.5703125" style="262"/>
    <col min="12586" max="12586" width="5.5703125" style="262" bestFit="1" customWidth="1"/>
    <col min="12587" max="12588" width="3.5703125" style="262"/>
    <col min="12589" max="12589" width="6.5703125" style="262" bestFit="1" customWidth="1"/>
    <col min="12590" max="12590" width="3.5703125" style="262"/>
    <col min="12591" max="12591" width="5.5703125" style="262" bestFit="1" customWidth="1"/>
    <col min="12592" max="12803" width="3.5703125" style="262"/>
    <col min="12804" max="12804" width="11.42578125" style="262" customWidth="1"/>
    <col min="12805" max="12805" width="1.85546875" style="262" customWidth="1"/>
    <col min="12806" max="12809" width="5.42578125" style="262" customWidth="1"/>
    <col min="12810" max="12810" width="10.42578125" style="262" customWidth="1"/>
    <col min="12811" max="12811" width="7.85546875" style="262" customWidth="1"/>
    <col min="12812" max="12812" width="8.85546875" style="262" customWidth="1"/>
    <col min="12813" max="12813" width="8.42578125" style="262" customWidth="1"/>
    <col min="12814" max="12814" width="4.42578125" style="262" customWidth="1"/>
    <col min="12815" max="12816" width="4.140625" style="262" customWidth="1"/>
    <col min="12817" max="12817" width="6.85546875" style="262" customWidth="1"/>
    <col min="12818" max="12818" width="4.140625" style="262" customWidth="1"/>
    <col min="12819" max="12824" width="4.42578125" style="262" customWidth="1"/>
    <col min="12825" max="12825" width="7" style="262" customWidth="1"/>
    <col min="12826" max="12826" width="0" style="262" hidden="1" customWidth="1"/>
    <col min="12827" max="12830" width="3.5703125" style="262" customWidth="1"/>
    <col min="12831" max="12832" width="3.5703125" style="262"/>
    <col min="12833" max="12834" width="0" style="262" hidden="1" customWidth="1"/>
    <col min="12835" max="12841" width="3.5703125" style="262"/>
    <col min="12842" max="12842" width="5.5703125" style="262" bestFit="1" customWidth="1"/>
    <col min="12843" max="12844" width="3.5703125" style="262"/>
    <col min="12845" max="12845" width="6.5703125" style="262" bestFit="1" customWidth="1"/>
    <col min="12846" max="12846" width="3.5703125" style="262"/>
    <col min="12847" max="12847" width="5.5703125" style="262" bestFit="1" customWidth="1"/>
    <col min="12848" max="13059" width="3.5703125" style="262"/>
    <col min="13060" max="13060" width="11.42578125" style="262" customWidth="1"/>
    <col min="13061" max="13061" width="1.85546875" style="262" customWidth="1"/>
    <col min="13062" max="13065" width="5.42578125" style="262" customWidth="1"/>
    <col min="13066" max="13066" width="10.42578125" style="262" customWidth="1"/>
    <col min="13067" max="13067" width="7.85546875" style="262" customWidth="1"/>
    <col min="13068" max="13068" width="8.85546875" style="262" customWidth="1"/>
    <col min="13069" max="13069" width="8.42578125" style="262" customWidth="1"/>
    <col min="13070" max="13070" width="4.42578125" style="262" customWidth="1"/>
    <col min="13071" max="13072" width="4.140625" style="262" customWidth="1"/>
    <col min="13073" max="13073" width="6.85546875" style="262" customWidth="1"/>
    <col min="13074" max="13074" width="4.140625" style="262" customWidth="1"/>
    <col min="13075" max="13080" width="4.42578125" style="262" customWidth="1"/>
    <col min="13081" max="13081" width="7" style="262" customWidth="1"/>
    <col min="13082" max="13082" width="0" style="262" hidden="1" customWidth="1"/>
    <col min="13083" max="13086" width="3.5703125" style="262" customWidth="1"/>
    <col min="13087" max="13088" width="3.5703125" style="262"/>
    <col min="13089" max="13090" width="0" style="262" hidden="1" customWidth="1"/>
    <col min="13091" max="13097" width="3.5703125" style="262"/>
    <col min="13098" max="13098" width="5.5703125" style="262" bestFit="1" customWidth="1"/>
    <col min="13099" max="13100" width="3.5703125" style="262"/>
    <col min="13101" max="13101" width="6.5703125" style="262" bestFit="1" customWidth="1"/>
    <col min="13102" max="13102" width="3.5703125" style="262"/>
    <col min="13103" max="13103" width="5.5703125" style="262" bestFit="1" customWidth="1"/>
    <col min="13104" max="13315" width="3.5703125" style="262"/>
    <col min="13316" max="13316" width="11.42578125" style="262" customWidth="1"/>
    <col min="13317" max="13317" width="1.85546875" style="262" customWidth="1"/>
    <col min="13318" max="13321" width="5.42578125" style="262" customWidth="1"/>
    <col min="13322" max="13322" width="10.42578125" style="262" customWidth="1"/>
    <col min="13323" max="13323" width="7.85546875" style="262" customWidth="1"/>
    <col min="13324" max="13324" width="8.85546875" style="262" customWidth="1"/>
    <col min="13325" max="13325" width="8.42578125" style="262" customWidth="1"/>
    <col min="13326" max="13326" width="4.42578125" style="262" customWidth="1"/>
    <col min="13327" max="13328" width="4.140625" style="262" customWidth="1"/>
    <col min="13329" max="13329" width="6.85546875" style="262" customWidth="1"/>
    <col min="13330" max="13330" width="4.140625" style="262" customWidth="1"/>
    <col min="13331" max="13336" width="4.42578125" style="262" customWidth="1"/>
    <col min="13337" max="13337" width="7" style="262" customWidth="1"/>
    <col min="13338" max="13338" width="0" style="262" hidden="1" customWidth="1"/>
    <col min="13339" max="13342" width="3.5703125" style="262" customWidth="1"/>
    <col min="13343" max="13344" width="3.5703125" style="262"/>
    <col min="13345" max="13346" width="0" style="262" hidden="1" customWidth="1"/>
    <col min="13347" max="13353" width="3.5703125" style="262"/>
    <col min="13354" max="13354" width="5.5703125" style="262" bestFit="1" customWidth="1"/>
    <col min="13355" max="13356" width="3.5703125" style="262"/>
    <col min="13357" max="13357" width="6.5703125" style="262" bestFit="1" customWidth="1"/>
    <col min="13358" max="13358" width="3.5703125" style="262"/>
    <col min="13359" max="13359" width="5.5703125" style="262" bestFit="1" customWidth="1"/>
    <col min="13360" max="13571" width="3.5703125" style="262"/>
    <col min="13572" max="13572" width="11.42578125" style="262" customWidth="1"/>
    <col min="13573" max="13573" width="1.85546875" style="262" customWidth="1"/>
    <col min="13574" max="13577" width="5.42578125" style="262" customWidth="1"/>
    <col min="13578" max="13578" width="10.42578125" style="262" customWidth="1"/>
    <col min="13579" max="13579" width="7.85546875" style="262" customWidth="1"/>
    <col min="13580" max="13580" width="8.85546875" style="262" customWidth="1"/>
    <col min="13581" max="13581" width="8.42578125" style="262" customWidth="1"/>
    <col min="13582" max="13582" width="4.42578125" style="262" customWidth="1"/>
    <col min="13583" max="13584" width="4.140625" style="262" customWidth="1"/>
    <col min="13585" max="13585" width="6.85546875" style="262" customWidth="1"/>
    <col min="13586" max="13586" width="4.140625" style="262" customWidth="1"/>
    <col min="13587" max="13592" width="4.42578125" style="262" customWidth="1"/>
    <col min="13593" max="13593" width="7" style="262" customWidth="1"/>
    <col min="13594" max="13594" width="0" style="262" hidden="1" customWidth="1"/>
    <col min="13595" max="13598" width="3.5703125" style="262" customWidth="1"/>
    <col min="13599" max="13600" width="3.5703125" style="262"/>
    <col min="13601" max="13602" width="0" style="262" hidden="1" customWidth="1"/>
    <col min="13603" max="13609" width="3.5703125" style="262"/>
    <col min="13610" max="13610" width="5.5703125" style="262" bestFit="1" customWidth="1"/>
    <col min="13611" max="13612" width="3.5703125" style="262"/>
    <col min="13613" max="13613" width="6.5703125" style="262" bestFit="1" customWidth="1"/>
    <col min="13614" max="13614" width="3.5703125" style="262"/>
    <col min="13615" max="13615" width="5.5703125" style="262" bestFit="1" customWidth="1"/>
    <col min="13616" max="13827" width="3.5703125" style="262"/>
    <col min="13828" max="13828" width="11.42578125" style="262" customWidth="1"/>
    <col min="13829" max="13829" width="1.85546875" style="262" customWidth="1"/>
    <col min="13830" max="13833" width="5.42578125" style="262" customWidth="1"/>
    <col min="13834" max="13834" width="10.42578125" style="262" customWidth="1"/>
    <col min="13835" max="13835" width="7.85546875" style="262" customWidth="1"/>
    <col min="13836" max="13836" width="8.85546875" style="262" customWidth="1"/>
    <col min="13837" max="13837" width="8.42578125" style="262" customWidth="1"/>
    <col min="13838" max="13838" width="4.42578125" style="262" customWidth="1"/>
    <col min="13839" max="13840" width="4.140625" style="262" customWidth="1"/>
    <col min="13841" max="13841" width="6.85546875" style="262" customWidth="1"/>
    <col min="13842" max="13842" width="4.140625" style="262" customWidth="1"/>
    <col min="13843" max="13848" width="4.42578125" style="262" customWidth="1"/>
    <col min="13849" max="13849" width="7" style="262" customWidth="1"/>
    <col min="13850" max="13850" width="0" style="262" hidden="1" customWidth="1"/>
    <col min="13851" max="13854" width="3.5703125" style="262" customWidth="1"/>
    <col min="13855" max="13856" width="3.5703125" style="262"/>
    <col min="13857" max="13858" width="0" style="262" hidden="1" customWidth="1"/>
    <col min="13859" max="13865" width="3.5703125" style="262"/>
    <col min="13866" max="13866" width="5.5703125" style="262" bestFit="1" customWidth="1"/>
    <col min="13867" max="13868" width="3.5703125" style="262"/>
    <col min="13869" max="13869" width="6.5703125" style="262" bestFit="1" customWidth="1"/>
    <col min="13870" max="13870" width="3.5703125" style="262"/>
    <col min="13871" max="13871" width="5.5703125" style="262" bestFit="1" customWidth="1"/>
    <col min="13872" max="14083" width="3.5703125" style="262"/>
    <col min="14084" max="14084" width="11.42578125" style="262" customWidth="1"/>
    <col min="14085" max="14085" width="1.85546875" style="262" customWidth="1"/>
    <col min="14086" max="14089" width="5.42578125" style="262" customWidth="1"/>
    <col min="14090" max="14090" width="10.42578125" style="262" customWidth="1"/>
    <col min="14091" max="14091" width="7.85546875" style="262" customWidth="1"/>
    <col min="14092" max="14092" width="8.85546875" style="262" customWidth="1"/>
    <col min="14093" max="14093" width="8.42578125" style="262" customWidth="1"/>
    <col min="14094" max="14094" width="4.42578125" style="262" customWidth="1"/>
    <col min="14095" max="14096" width="4.140625" style="262" customWidth="1"/>
    <col min="14097" max="14097" width="6.85546875" style="262" customWidth="1"/>
    <col min="14098" max="14098" width="4.140625" style="262" customWidth="1"/>
    <col min="14099" max="14104" width="4.42578125" style="262" customWidth="1"/>
    <col min="14105" max="14105" width="7" style="262" customWidth="1"/>
    <col min="14106" max="14106" width="0" style="262" hidden="1" customWidth="1"/>
    <col min="14107" max="14110" width="3.5703125" style="262" customWidth="1"/>
    <col min="14111" max="14112" width="3.5703125" style="262"/>
    <col min="14113" max="14114" width="0" style="262" hidden="1" customWidth="1"/>
    <col min="14115" max="14121" width="3.5703125" style="262"/>
    <col min="14122" max="14122" width="5.5703125" style="262" bestFit="1" customWidth="1"/>
    <col min="14123" max="14124" width="3.5703125" style="262"/>
    <col min="14125" max="14125" width="6.5703125" style="262" bestFit="1" customWidth="1"/>
    <col min="14126" max="14126" width="3.5703125" style="262"/>
    <col min="14127" max="14127" width="5.5703125" style="262" bestFit="1" customWidth="1"/>
    <col min="14128" max="14339" width="3.5703125" style="262"/>
    <col min="14340" max="14340" width="11.42578125" style="262" customWidth="1"/>
    <col min="14341" max="14341" width="1.85546875" style="262" customWidth="1"/>
    <col min="14342" max="14345" width="5.42578125" style="262" customWidth="1"/>
    <col min="14346" max="14346" width="10.42578125" style="262" customWidth="1"/>
    <col min="14347" max="14347" width="7.85546875" style="262" customWidth="1"/>
    <col min="14348" max="14348" width="8.85546875" style="262" customWidth="1"/>
    <col min="14349" max="14349" width="8.42578125" style="262" customWidth="1"/>
    <col min="14350" max="14350" width="4.42578125" style="262" customWidth="1"/>
    <col min="14351" max="14352" width="4.140625" style="262" customWidth="1"/>
    <col min="14353" max="14353" width="6.85546875" style="262" customWidth="1"/>
    <col min="14354" max="14354" width="4.140625" style="262" customWidth="1"/>
    <col min="14355" max="14360" width="4.42578125" style="262" customWidth="1"/>
    <col min="14361" max="14361" width="7" style="262" customWidth="1"/>
    <col min="14362" max="14362" width="0" style="262" hidden="1" customWidth="1"/>
    <col min="14363" max="14366" width="3.5703125" style="262" customWidth="1"/>
    <col min="14367" max="14368" width="3.5703125" style="262"/>
    <col min="14369" max="14370" width="0" style="262" hidden="1" customWidth="1"/>
    <col min="14371" max="14377" width="3.5703125" style="262"/>
    <col min="14378" max="14378" width="5.5703125" style="262" bestFit="1" customWidth="1"/>
    <col min="14379" max="14380" width="3.5703125" style="262"/>
    <col min="14381" max="14381" width="6.5703125" style="262" bestFit="1" customWidth="1"/>
    <col min="14382" max="14382" width="3.5703125" style="262"/>
    <col min="14383" max="14383" width="5.5703125" style="262" bestFit="1" customWidth="1"/>
    <col min="14384" max="14595" width="3.5703125" style="262"/>
    <col min="14596" max="14596" width="11.42578125" style="262" customWidth="1"/>
    <col min="14597" max="14597" width="1.85546875" style="262" customWidth="1"/>
    <col min="14598" max="14601" width="5.42578125" style="262" customWidth="1"/>
    <col min="14602" max="14602" width="10.42578125" style="262" customWidth="1"/>
    <col min="14603" max="14603" width="7.85546875" style="262" customWidth="1"/>
    <col min="14604" max="14604" width="8.85546875" style="262" customWidth="1"/>
    <col min="14605" max="14605" width="8.42578125" style="262" customWidth="1"/>
    <col min="14606" max="14606" width="4.42578125" style="262" customWidth="1"/>
    <col min="14607" max="14608" width="4.140625" style="262" customWidth="1"/>
    <col min="14609" max="14609" width="6.85546875" style="262" customWidth="1"/>
    <col min="14610" max="14610" width="4.140625" style="262" customWidth="1"/>
    <col min="14611" max="14616" width="4.42578125" style="262" customWidth="1"/>
    <col min="14617" max="14617" width="7" style="262" customWidth="1"/>
    <col min="14618" max="14618" width="0" style="262" hidden="1" customWidth="1"/>
    <col min="14619" max="14622" width="3.5703125" style="262" customWidth="1"/>
    <col min="14623" max="14624" width="3.5703125" style="262"/>
    <col min="14625" max="14626" width="0" style="262" hidden="1" customWidth="1"/>
    <col min="14627" max="14633" width="3.5703125" style="262"/>
    <col min="14634" max="14634" width="5.5703125" style="262" bestFit="1" customWidth="1"/>
    <col min="14635" max="14636" width="3.5703125" style="262"/>
    <col min="14637" max="14637" width="6.5703125" style="262" bestFit="1" customWidth="1"/>
    <col min="14638" max="14638" width="3.5703125" style="262"/>
    <col min="14639" max="14639" width="5.5703125" style="262" bestFit="1" customWidth="1"/>
    <col min="14640" max="14851" width="3.5703125" style="262"/>
    <col min="14852" max="14852" width="11.42578125" style="262" customWidth="1"/>
    <col min="14853" max="14853" width="1.85546875" style="262" customWidth="1"/>
    <col min="14854" max="14857" width="5.42578125" style="262" customWidth="1"/>
    <col min="14858" max="14858" width="10.42578125" style="262" customWidth="1"/>
    <col min="14859" max="14859" width="7.85546875" style="262" customWidth="1"/>
    <col min="14860" max="14860" width="8.85546875" style="262" customWidth="1"/>
    <col min="14861" max="14861" width="8.42578125" style="262" customWidth="1"/>
    <col min="14862" max="14862" width="4.42578125" style="262" customWidth="1"/>
    <col min="14863" max="14864" width="4.140625" style="262" customWidth="1"/>
    <col min="14865" max="14865" width="6.85546875" style="262" customWidth="1"/>
    <col min="14866" max="14866" width="4.140625" style="262" customWidth="1"/>
    <col min="14867" max="14872" width="4.42578125" style="262" customWidth="1"/>
    <col min="14873" max="14873" width="7" style="262" customWidth="1"/>
    <col min="14874" max="14874" width="0" style="262" hidden="1" customWidth="1"/>
    <col min="14875" max="14878" width="3.5703125" style="262" customWidth="1"/>
    <col min="14879" max="14880" width="3.5703125" style="262"/>
    <col min="14881" max="14882" width="0" style="262" hidden="1" customWidth="1"/>
    <col min="14883" max="14889" width="3.5703125" style="262"/>
    <col min="14890" max="14890" width="5.5703125" style="262" bestFit="1" customWidth="1"/>
    <col min="14891" max="14892" width="3.5703125" style="262"/>
    <col min="14893" max="14893" width="6.5703125" style="262" bestFit="1" customWidth="1"/>
    <col min="14894" max="14894" width="3.5703125" style="262"/>
    <col min="14895" max="14895" width="5.5703125" style="262" bestFit="1" customWidth="1"/>
    <col min="14896" max="15107" width="3.5703125" style="262"/>
    <col min="15108" max="15108" width="11.42578125" style="262" customWidth="1"/>
    <col min="15109" max="15109" width="1.85546875" style="262" customWidth="1"/>
    <col min="15110" max="15113" width="5.42578125" style="262" customWidth="1"/>
    <col min="15114" max="15114" width="10.42578125" style="262" customWidth="1"/>
    <col min="15115" max="15115" width="7.85546875" style="262" customWidth="1"/>
    <col min="15116" max="15116" width="8.85546875" style="262" customWidth="1"/>
    <col min="15117" max="15117" width="8.42578125" style="262" customWidth="1"/>
    <col min="15118" max="15118" width="4.42578125" style="262" customWidth="1"/>
    <col min="15119" max="15120" width="4.140625" style="262" customWidth="1"/>
    <col min="15121" max="15121" width="6.85546875" style="262" customWidth="1"/>
    <col min="15122" max="15122" width="4.140625" style="262" customWidth="1"/>
    <col min="15123" max="15128" width="4.42578125" style="262" customWidth="1"/>
    <col min="15129" max="15129" width="7" style="262" customWidth="1"/>
    <col min="15130" max="15130" width="0" style="262" hidden="1" customWidth="1"/>
    <col min="15131" max="15134" width="3.5703125" style="262" customWidth="1"/>
    <col min="15135" max="15136" width="3.5703125" style="262"/>
    <col min="15137" max="15138" width="0" style="262" hidden="1" customWidth="1"/>
    <col min="15139" max="15145" width="3.5703125" style="262"/>
    <col min="15146" max="15146" width="5.5703125" style="262" bestFit="1" customWidth="1"/>
    <col min="15147" max="15148" width="3.5703125" style="262"/>
    <col min="15149" max="15149" width="6.5703125" style="262" bestFit="1" customWidth="1"/>
    <col min="15150" max="15150" width="3.5703125" style="262"/>
    <col min="15151" max="15151" width="5.5703125" style="262" bestFit="1" customWidth="1"/>
    <col min="15152" max="15363" width="3.5703125" style="262"/>
    <col min="15364" max="15364" width="11.42578125" style="262" customWidth="1"/>
    <col min="15365" max="15365" width="1.85546875" style="262" customWidth="1"/>
    <col min="15366" max="15369" width="5.42578125" style="262" customWidth="1"/>
    <col min="15370" max="15370" width="10.42578125" style="262" customWidth="1"/>
    <col min="15371" max="15371" width="7.85546875" style="262" customWidth="1"/>
    <col min="15372" max="15372" width="8.85546875" style="262" customWidth="1"/>
    <col min="15373" max="15373" width="8.42578125" style="262" customWidth="1"/>
    <col min="15374" max="15374" width="4.42578125" style="262" customWidth="1"/>
    <col min="15375" max="15376" width="4.140625" style="262" customWidth="1"/>
    <col min="15377" max="15377" width="6.85546875" style="262" customWidth="1"/>
    <col min="15378" max="15378" width="4.140625" style="262" customWidth="1"/>
    <col min="15379" max="15384" width="4.42578125" style="262" customWidth="1"/>
    <col min="15385" max="15385" width="7" style="262" customWidth="1"/>
    <col min="15386" max="15386" width="0" style="262" hidden="1" customWidth="1"/>
    <col min="15387" max="15390" width="3.5703125" style="262" customWidth="1"/>
    <col min="15391" max="15392" width="3.5703125" style="262"/>
    <col min="15393" max="15394" width="0" style="262" hidden="1" customWidth="1"/>
    <col min="15395" max="15401" width="3.5703125" style="262"/>
    <col min="15402" max="15402" width="5.5703125" style="262" bestFit="1" customWidth="1"/>
    <col min="15403" max="15404" width="3.5703125" style="262"/>
    <col min="15405" max="15405" width="6.5703125" style="262" bestFit="1" customWidth="1"/>
    <col min="15406" max="15406" width="3.5703125" style="262"/>
    <col min="15407" max="15407" width="5.5703125" style="262" bestFit="1" customWidth="1"/>
    <col min="15408" max="15619" width="3.5703125" style="262"/>
    <col min="15620" max="15620" width="11.42578125" style="262" customWidth="1"/>
    <col min="15621" max="15621" width="1.85546875" style="262" customWidth="1"/>
    <col min="15622" max="15625" width="5.42578125" style="262" customWidth="1"/>
    <col min="15626" max="15626" width="10.42578125" style="262" customWidth="1"/>
    <col min="15627" max="15627" width="7.85546875" style="262" customWidth="1"/>
    <col min="15628" max="15628" width="8.85546875" style="262" customWidth="1"/>
    <col min="15629" max="15629" width="8.42578125" style="262" customWidth="1"/>
    <col min="15630" max="15630" width="4.42578125" style="262" customWidth="1"/>
    <col min="15631" max="15632" width="4.140625" style="262" customWidth="1"/>
    <col min="15633" max="15633" width="6.85546875" style="262" customWidth="1"/>
    <col min="15634" max="15634" width="4.140625" style="262" customWidth="1"/>
    <col min="15635" max="15640" width="4.42578125" style="262" customWidth="1"/>
    <col min="15641" max="15641" width="7" style="262" customWidth="1"/>
    <col min="15642" max="15642" width="0" style="262" hidden="1" customWidth="1"/>
    <col min="15643" max="15646" width="3.5703125" style="262" customWidth="1"/>
    <col min="15647" max="15648" width="3.5703125" style="262"/>
    <col min="15649" max="15650" width="0" style="262" hidden="1" customWidth="1"/>
    <col min="15651" max="15657" width="3.5703125" style="262"/>
    <col min="15658" max="15658" width="5.5703125" style="262" bestFit="1" customWidth="1"/>
    <col min="15659" max="15660" width="3.5703125" style="262"/>
    <col min="15661" max="15661" width="6.5703125" style="262" bestFit="1" customWidth="1"/>
    <col min="15662" max="15662" width="3.5703125" style="262"/>
    <col min="15663" max="15663" width="5.5703125" style="262" bestFit="1" customWidth="1"/>
    <col min="15664" max="15875" width="3.5703125" style="262"/>
    <col min="15876" max="15876" width="11.42578125" style="262" customWidth="1"/>
    <col min="15877" max="15877" width="1.85546875" style="262" customWidth="1"/>
    <col min="15878" max="15881" width="5.42578125" style="262" customWidth="1"/>
    <col min="15882" max="15882" width="10.42578125" style="262" customWidth="1"/>
    <col min="15883" max="15883" width="7.85546875" style="262" customWidth="1"/>
    <col min="15884" max="15884" width="8.85546875" style="262" customWidth="1"/>
    <col min="15885" max="15885" width="8.42578125" style="262" customWidth="1"/>
    <col min="15886" max="15886" width="4.42578125" style="262" customWidth="1"/>
    <col min="15887" max="15888" width="4.140625" style="262" customWidth="1"/>
    <col min="15889" max="15889" width="6.85546875" style="262" customWidth="1"/>
    <col min="15890" max="15890" width="4.140625" style="262" customWidth="1"/>
    <col min="15891" max="15896" width="4.42578125" style="262" customWidth="1"/>
    <col min="15897" max="15897" width="7" style="262" customWidth="1"/>
    <col min="15898" max="15898" width="0" style="262" hidden="1" customWidth="1"/>
    <col min="15899" max="15902" width="3.5703125" style="262" customWidth="1"/>
    <col min="15903" max="15904" width="3.5703125" style="262"/>
    <col min="15905" max="15906" width="0" style="262" hidden="1" customWidth="1"/>
    <col min="15907" max="15913" width="3.5703125" style="262"/>
    <col min="15914" max="15914" width="5.5703125" style="262" bestFit="1" customWidth="1"/>
    <col min="15915" max="15916" width="3.5703125" style="262"/>
    <col min="15917" max="15917" width="6.5703125" style="262" bestFit="1" customWidth="1"/>
    <col min="15918" max="15918" width="3.5703125" style="262"/>
    <col min="15919" max="15919" width="5.5703125" style="262" bestFit="1" customWidth="1"/>
    <col min="15920" max="16131" width="3.5703125" style="262"/>
    <col min="16132" max="16132" width="11.42578125" style="262" customWidth="1"/>
    <col min="16133" max="16133" width="1.85546875" style="262" customWidth="1"/>
    <col min="16134" max="16137" width="5.42578125" style="262" customWidth="1"/>
    <col min="16138" max="16138" width="10.42578125" style="262" customWidth="1"/>
    <col min="16139" max="16139" width="7.85546875" style="262" customWidth="1"/>
    <col min="16140" max="16140" width="8.85546875" style="262" customWidth="1"/>
    <col min="16141" max="16141" width="8.42578125" style="262" customWidth="1"/>
    <col min="16142" max="16142" width="4.42578125" style="262" customWidth="1"/>
    <col min="16143" max="16144" width="4.140625" style="262" customWidth="1"/>
    <col min="16145" max="16145" width="6.85546875" style="262" customWidth="1"/>
    <col min="16146" max="16146" width="4.140625" style="262" customWidth="1"/>
    <col min="16147" max="16152" width="4.42578125" style="262" customWidth="1"/>
    <col min="16153" max="16153" width="7" style="262" customWidth="1"/>
    <col min="16154" max="16154" width="0" style="262" hidden="1" customWidth="1"/>
    <col min="16155" max="16158" width="3.5703125" style="262" customWidth="1"/>
    <col min="16159" max="16160" width="3.5703125" style="262"/>
    <col min="16161" max="16162" width="0" style="262" hidden="1" customWidth="1"/>
    <col min="16163" max="16169" width="3.5703125" style="262"/>
    <col min="16170" max="16170" width="5.5703125" style="262" bestFit="1" customWidth="1"/>
    <col min="16171" max="16172" width="3.5703125" style="262"/>
    <col min="16173" max="16173" width="6.5703125" style="262" bestFit="1" customWidth="1"/>
    <col min="16174" max="16174" width="3.5703125" style="262"/>
    <col min="16175" max="16175" width="5.5703125" style="262" bestFit="1" customWidth="1"/>
    <col min="16176" max="16384" width="3.5703125" style="262"/>
  </cols>
  <sheetData>
    <row r="1" spans="2:36" s="7" customFormat="1" ht="9.9499999999999993" customHeight="1" x14ac:dyDescent="0.25">
      <c r="B1" s="637" t="s">
        <v>298</v>
      </c>
      <c r="C1" s="639"/>
      <c r="D1" s="639"/>
      <c r="E1" s="639"/>
      <c r="F1" s="639"/>
      <c r="G1" s="639"/>
      <c r="H1" s="639"/>
      <c r="I1" s="639"/>
      <c r="J1" s="639"/>
      <c r="K1" s="639"/>
      <c r="L1" s="639"/>
      <c r="M1" s="639"/>
      <c r="N1" s="639"/>
      <c r="O1" s="639"/>
      <c r="P1" s="639"/>
      <c r="Q1" s="639"/>
      <c r="R1" s="639"/>
      <c r="S1" s="639"/>
      <c r="T1" s="639"/>
      <c r="U1" s="639"/>
      <c r="V1" s="639"/>
      <c r="W1" s="639"/>
      <c r="X1" s="639"/>
      <c r="Y1" s="639"/>
      <c r="AB1" s="263"/>
      <c r="AC1" s="263"/>
      <c r="AD1" s="263"/>
      <c r="AE1" s="263"/>
      <c r="AF1" s="263"/>
      <c r="AG1" s="263"/>
      <c r="AH1" s="263"/>
      <c r="AI1" s="263"/>
      <c r="AJ1" s="263"/>
    </row>
    <row r="2" spans="2:36" s="7" customFormat="1" ht="9.9499999999999993" customHeight="1" x14ac:dyDescent="0.25">
      <c r="B2" s="639"/>
      <c r="C2" s="639"/>
      <c r="D2" s="639"/>
      <c r="E2" s="639"/>
      <c r="F2" s="639"/>
      <c r="G2" s="639"/>
      <c r="H2" s="639"/>
      <c r="I2" s="639"/>
      <c r="J2" s="639"/>
      <c r="K2" s="639"/>
      <c r="L2" s="639"/>
      <c r="M2" s="639"/>
      <c r="N2" s="639"/>
      <c r="O2" s="639"/>
      <c r="P2" s="639"/>
      <c r="Q2" s="639"/>
      <c r="R2" s="639"/>
      <c r="S2" s="639"/>
      <c r="T2" s="639"/>
      <c r="U2" s="639"/>
      <c r="V2" s="639"/>
      <c r="W2" s="639"/>
      <c r="X2" s="639"/>
      <c r="Y2" s="639"/>
      <c r="AB2" s="263"/>
      <c r="AC2" s="263"/>
      <c r="AD2" s="263"/>
      <c r="AE2" s="263"/>
      <c r="AF2" s="263"/>
      <c r="AG2" s="263"/>
      <c r="AH2" s="263"/>
      <c r="AI2" s="263"/>
      <c r="AJ2" s="263"/>
    </row>
    <row r="3" spans="2:36" s="7" customFormat="1" ht="9.9499999999999993" customHeight="1" x14ac:dyDescent="0.25">
      <c r="B3" s="639"/>
      <c r="C3" s="639"/>
      <c r="D3" s="639"/>
      <c r="E3" s="639"/>
      <c r="F3" s="639"/>
      <c r="G3" s="639"/>
      <c r="H3" s="639"/>
      <c r="I3" s="639"/>
      <c r="J3" s="639"/>
      <c r="K3" s="639"/>
      <c r="L3" s="639"/>
      <c r="M3" s="639"/>
      <c r="N3" s="639"/>
      <c r="O3" s="639"/>
      <c r="P3" s="639"/>
      <c r="Q3" s="639"/>
      <c r="R3" s="639"/>
      <c r="S3" s="639"/>
      <c r="T3" s="639"/>
      <c r="U3" s="639"/>
      <c r="V3" s="639"/>
      <c r="W3" s="639"/>
      <c r="X3" s="639"/>
      <c r="Y3" s="639"/>
      <c r="AB3" s="263"/>
      <c r="AC3" s="263"/>
      <c r="AD3" s="263"/>
      <c r="AE3" s="263"/>
      <c r="AF3" s="263"/>
      <c r="AG3" s="263"/>
      <c r="AH3" s="263"/>
      <c r="AI3" s="263"/>
      <c r="AJ3" s="263"/>
    </row>
    <row r="4" spans="2:36" s="7" customFormat="1" ht="9.9499999999999993" customHeight="1" x14ac:dyDescent="0.25">
      <c r="B4" s="639"/>
      <c r="C4" s="639"/>
      <c r="D4" s="639"/>
      <c r="E4" s="639"/>
      <c r="F4" s="639"/>
      <c r="G4" s="639"/>
      <c r="H4" s="639"/>
      <c r="I4" s="639"/>
      <c r="J4" s="639"/>
      <c r="K4" s="639"/>
      <c r="L4" s="639"/>
      <c r="M4" s="639"/>
      <c r="N4" s="639"/>
      <c r="O4" s="639"/>
      <c r="P4" s="639"/>
      <c r="Q4" s="639"/>
      <c r="R4" s="639"/>
      <c r="S4" s="639"/>
      <c r="T4" s="639"/>
      <c r="U4" s="639"/>
      <c r="V4" s="639"/>
      <c r="W4" s="639"/>
      <c r="X4" s="639"/>
      <c r="Y4" s="639"/>
      <c r="AB4" s="263"/>
      <c r="AC4" s="263"/>
      <c r="AD4" s="263"/>
      <c r="AE4" s="263"/>
      <c r="AF4" s="263"/>
      <c r="AG4" s="263"/>
      <c r="AH4" s="263"/>
      <c r="AI4" s="263"/>
      <c r="AJ4" s="263"/>
    </row>
    <row r="5" spans="2:36" s="7" customFormat="1" ht="9.9499999999999993" customHeight="1" x14ac:dyDescent="0.25">
      <c r="B5" s="639"/>
      <c r="C5" s="639"/>
      <c r="D5" s="639"/>
      <c r="E5" s="639"/>
      <c r="F5" s="639"/>
      <c r="G5" s="639"/>
      <c r="H5" s="639"/>
      <c r="I5" s="639"/>
      <c r="J5" s="639"/>
      <c r="K5" s="639"/>
      <c r="L5" s="639"/>
      <c r="M5" s="639"/>
      <c r="N5" s="639"/>
      <c r="O5" s="639"/>
      <c r="P5" s="639"/>
      <c r="Q5" s="639"/>
      <c r="R5" s="639"/>
      <c r="S5" s="639"/>
      <c r="T5" s="639"/>
      <c r="U5" s="639"/>
      <c r="V5" s="639"/>
      <c r="W5" s="639"/>
      <c r="X5" s="639"/>
      <c r="Y5" s="639"/>
      <c r="AB5" s="263"/>
      <c r="AC5" s="263"/>
      <c r="AD5" s="263"/>
      <c r="AE5" s="263"/>
      <c r="AF5" s="263"/>
      <c r="AG5" s="263"/>
      <c r="AH5" s="263"/>
      <c r="AI5" s="263"/>
      <c r="AJ5" s="263"/>
    </row>
    <row r="6" spans="2:36" s="7" customFormat="1" ht="9.9499999999999993" customHeight="1" x14ac:dyDescent="0.25">
      <c r="B6" s="639"/>
      <c r="C6" s="639"/>
      <c r="D6" s="639"/>
      <c r="E6" s="639"/>
      <c r="F6" s="639"/>
      <c r="G6" s="639"/>
      <c r="H6" s="639"/>
      <c r="I6" s="639"/>
      <c r="J6" s="639"/>
      <c r="K6" s="639"/>
      <c r="L6" s="639"/>
      <c r="M6" s="639"/>
      <c r="N6" s="639"/>
      <c r="O6" s="639"/>
      <c r="P6" s="639"/>
      <c r="Q6" s="639"/>
      <c r="R6" s="639"/>
      <c r="S6" s="639"/>
      <c r="T6" s="639"/>
      <c r="U6" s="639"/>
      <c r="V6" s="639"/>
      <c r="W6" s="639"/>
      <c r="X6" s="639"/>
      <c r="Y6" s="639"/>
      <c r="AB6" s="263"/>
      <c r="AC6" s="263"/>
      <c r="AD6" s="263"/>
      <c r="AE6" s="263"/>
      <c r="AF6" s="263"/>
      <c r="AG6" s="263"/>
      <c r="AH6" s="263"/>
      <c r="AI6" s="263"/>
      <c r="AJ6" s="263"/>
    </row>
    <row r="7" spans="2:36" s="7" customFormat="1" ht="15" x14ac:dyDescent="0.25">
      <c r="AB7" s="263"/>
      <c r="AC7" s="263"/>
      <c r="AD7" s="263"/>
      <c r="AE7" s="263"/>
      <c r="AF7" s="263"/>
      <c r="AG7" s="263"/>
      <c r="AH7" s="263"/>
      <c r="AI7" s="263"/>
      <c r="AJ7" s="263"/>
    </row>
    <row r="8" spans="2:36" s="261" customFormat="1" ht="18" customHeight="1" x14ac:dyDescent="0.25">
      <c r="B8" s="8" t="s">
        <v>49</v>
      </c>
      <c r="D8" s="13" t="str">
        <f>'DADOS DA OBRA'!$B$13</f>
        <v>TRIBUNAL REGIONAL ELEITORAL - PIAUÍ</v>
      </c>
      <c r="F8" s="9"/>
      <c r="G8" s="9"/>
      <c r="H8" s="9"/>
      <c r="I8" s="9"/>
      <c r="J8" s="9"/>
      <c r="K8" s="9"/>
      <c r="X8" s="10" t="s">
        <v>50</v>
      </c>
      <c r="Y8" s="11" t="str">
        <f>+'CURVA ABC - SERVIÇOS'!G8</f>
        <v>22/11/2021</v>
      </c>
      <c r="AB8" s="264"/>
      <c r="AC8" s="264"/>
      <c r="AD8" s="264"/>
      <c r="AE8" s="264"/>
      <c r="AF8" s="264"/>
      <c r="AG8" s="264"/>
      <c r="AH8" s="264"/>
      <c r="AI8" s="264"/>
      <c r="AJ8" s="264"/>
    </row>
    <row r="9" spans="2:36" s="261" customFormat="1" ht="18" customHeight="1" x14ac:dyDescent="0.25">
      <c r="B9" s="8" t="s">
        <v>68</v>
      </c>
      <c r="D9" s="13" t="str">
        <f>'DADOS DA OBRA'!$B$16</f>
        <v>SUBSTITUIÇÃO DE INSTALAÇÕES ELÉTRICAS E CABEAMENTO ESTRUTURADO - EDIFÍCIO ANEXO</v>
      </c>
      <c r="F9" s="12"/>
      <c r="G9" s="12"/>
      <c r="H9" s="12"/>
      <c r="I9" s="12"/>
      <c r="J9" s="12"/>
      <c r="K9" s="12"/>
      <c r="X9" s="10" t="s">
        <v>51</v>
      </c>
      <c r="Y9" s="11">
        <f>+'CURVA ABC - SERVIÇOS'!G9</f>
        <v>44733</v>
      </c>
      <c r="AB9" s="264"/>
      <c r="AC9" s="264"/>
      <c r="AD9" s="264"/>
      <c r="AE9" s="264"/>
      <c r="AF9" s="264"/>
      <c r="AG9" s="264"/>
      <c r="AH9" s="264"/>
      <c r="AI9" s="264"/>
      <c r="AJ9" s="264"/>
    </row>
    <row r="10" spans="2:36" s="261" customFormat="1" ht="18" customHeight="1" x14ac:dyDescent="0.25">
      <c r="B10" s="8" t="s">
        <v>52</v>
      </c>
      <c r="D10" s="9" t="str">
        <f>+""&amp;'DADOS DA OBRA'!$B$19&amp;", "&amp;'DADOS DA OBRA'!$J$22&amp;", "&amp;'DADOS DA OBRA'!$P$22</f>
        <v>PRAÇA EDGAR NOGUEIRA, TERESINA, PI</v>
      </c>
      <c r="F10" s="12"/>
      <c r="G10" s="12"/>
      <c r="H10" s="12"/>
      <c r="I10" s="12"/>
      <c r="J10" s="12"/>
      <c r="K10" s="12"/>
      <c r="X10" s="10" t="s">
        <v>70</v>
      </c>
      <c r="Y10" s="294">
        <f>+'CURVA ABC - SERVIÇOS'!J8</f>
        <v>1.1186</v>
      </c>
      <c r="AB10" s="264"/>
      <c r="AC10" s="264"/>
      <c r="AD10" s="264"/>
      <c r="AE10" s="264"/>
      <c r="AF10" s="264"/>
      <c r="AG10" s="264"/>
      <c r="AH10" s="264"/>
      <c r="AI10" s="264"/>
      <c r="AJ10" s="264"/>
    </row>
    <row r="11" spans="2:36" ht="65.25" customHeight="1" x14ac:dyDescent="0.25">
      <c r="B11" s="8" t="s">
        <v>69</v>
      </c>
      <c r="D11" s="522" t="str">
        <f>+'DADOS DA OBRA'!$B$31</f>
        <v>SINAPI - 04/2022 - PIAUÍ 	 SBC - 05/2022 - TSA - Teresina - PI ORSE - 03/2022 - SERGIPE 	 SETOP - 03/2022 - Minas Gerais - Central SUDECAP - 02/2022 - MINAS GERAIS 	 CPOS - 02/2022 - São Paulo AGESUL - 01/2022 - MATO GROSSO DO SUL 	 AGETOP CIVIL - 04/2022 - Goiás EMOP - 04/2022 - RIO DE JANEIRO</v>
      </c>
      <c r="E11" s="522"/>
      <c r="F11" s="522"/>
      <c r="G11" s="522"/>
      <c r="H11" s="522"/>
      <c r="I11" s="522"/>
      <c r="J11" s="522"/>
      <c r="K11" s="522"/>
      <c r="L11" s="522"/>
      <c r="M11" s="522"/>
      <c r="N11" s="522"/>
      <c r="O11" s="522"/>
      <c r="P11" s="522"/>
      <c r="Q11" s="522"/>
      <c r="R11" s="522"/>
      <c r="S11" s="522"/>
      <c r="X11" s="10" t="s">
        <v>71</v>
      </c>
      <c r="Y11" s="294">
        <f>+'CURVA ABC - SERVIÇOS'!J9</f>
        <v>0.70630000000000004</v>
      </c>
      <c r="Z11" s="262"/>
    </row>
    <row r="12" spans="2:36" s="1" customFormat="1" ht="6.95" customHeight="1" x14ac:dyDescent="0.25">
      <c r="I12" s="2"/>
      <c r="J12" s="3"/>
      <c r="K12" s="3"/>
      <c r="L12" s="4"/>
      <c r="M12" s="5"/>
      <c r="N12" s="6"/>
      <c r="AB12" s="266"/>
      <c r="AC12" s="266"/>
      <c r="AD12" s="266"/>
      <c r="AE12" s="266"/>
      <c r="AF12" s="266"/>
      <c r="AG12" s="266"/>
      <c r="AH12" s="266"/>
      <c r="AI12" s="266"/>
      <c r="AJ12" s="266"/>
    </row>
    <row r="13" spans="2:36" ht="24.95" customHeight="1" x14ac:dyDescent="0.25">
      <c r="B13" s="624"/>
      <c r="C13" s="624"/>
      <c r="D13" s="624"/>
      <c r="E13" s="624"/>
      <c r="F13" s="624"/>
      <c r="G13" s="638"/>
      <c r="H13" s="638"/>
      <c r="I13" s="638"/>
      <c r="J13" s="638"/>
      <c r="K13" s="638"/>
      <c r="L13" s="638"/>
      <c r="M13" s="638"/>
      <c r="N13" s="638"/>
      <c r="O13" s="638"/>
      <c r="P13" s="638"/>
      <c r="Q13" s="638"/>
      <c r="R13" s="638"/>
      <c r="S13" s="638"/>
      <c r="T13" s="638"/>
      <c r="U13" s="638"/>
      <c r="V13" s="638"/>
      <c r="W13" s="638"/>
      <c r="X13" s="638"/>
      <c r="Y13" s="638"/>
      <c r="AB13" s="254"/>
      <c r="AC13" s="254"/>
      <c r="AD13" s="254"/>
      <c r="AE13" s="254"/>
    </row>
    <row r="14" spans="2:36" ht="24.95" customHeight="1" x14ac:dyDescent="0.25">
      <c r="B14" s="624" t="s">
        <v>38</v>
      </c>
      <c r="C14" s="624"/>
      <c r="D14" s="624"/>
      <c r="E14" s="624"/>
      <c r="F14" s="624"/>
      <c r="G14" s="626" t="str">
        <f>+'BDI OBRA - ONERADO'!G14:Y14</f>
        <v>TERESINA - PI</v>
      </c>
      <c r="H14" s="626"/>
      <c r="I14" s="626"/>
      <c r="J14" s="626"/>
      <c r="K14" s="626"/>
      <c r="L14" s="626"/>
      <c r="M14" s="626"/>
      <c r="N14" s="626"/>
      <c r="O14" s="626"/>
      <c r="P14" s="626"/>
      <c r="Q14" s="626"/>
      <c r="R14" s="626"/>
      <c r="S14" s="626"/>
      <c r="T14" s="626"/>
      <c r="U14" s="626"/>
      <c r="V14" s="626"/>
      <c r="W14" s="626"/>
      <c r="X14" s="626"/>
      <c r="Y14" s="626"/>
      <c r="AB14" s="254"/>
      <c r="AC14" s="254"/>
      <c r="AD14" s="254"/>
      <c r="AE14" s="254"/>
    </row>
    <row r="15" spans="2:36" ht="24.95" customHeight="1" x14ac:dyDescent="0.25">
      <c r="B15" s="624" t="s">
        <v>39</v>
      </c>
      <c r="C15" s="624"/>
      <c r="D15" s="624"/>
      <c r="E15" s="624"/>
      <c r="F15" s="624"/>
      <c r="G15" s="626" t="s">
        <v>80</v>
      </c>
      <c r="H15" s="626"/>
      <c r="I15" s="626"/>
      <c r="J15" s="626"/>
      <c r="K15" s="626"/>
      <c r="L15" s="626"/>
      <c r="M15" s="626"/>
      <c r="N15" s="626"/>
      <c r="O15" s="626"/>
      <c r="P15" s="626"/>
      <c r="Q15" s="626"/>
      <c r="R15" s="626"/>
      <c r="S15" s="626"/>
      <c r="T15" s="626"/>
      <c r="U15" s="626"/>
      <c r="V15" s="626"/>
      <c r="W15" s="626"/>
      <c r="X15" s="626"/>
      <c r="Y15" s="626"/>
      <c r="AB15" s="254"/>
      <c r="AC15" s="254"/>
      <c r="AD15" s="254"/>
      <c r="AE15" s="254"/>
    </row>
    <row r="16" spans="2:36" ht="24.95" customHeight="1" x14ac:dyDescent="0.25">
      <c r="B16" s="624" t="s">
        <v>81</v>
      </c>
      <c r="C16" s="624"/>
      <c r="D16" s="624"/>
      <c r="E16" s="624"/>
      <c r="F16" s="624"/>
      <c r="G16" s="625">
        <v>0.6</v>
      </c>
      <c r="H16" s="625"/>
      <c r="I16" s="625"/>
      <c r="J16" s="56" t="s">
        <v>86</v>
      </c>
      <c r="K16" s="55">
        <f>+'BDI OBRA - ONERADO'!K16</f>
        <v>0.03</v>
      </c>
      <c r="L16" s="55"/>
      <c r="M16" s="55"/>
      <c r="N16" s="55"/>
      <c r="O16" s="55"/>
      <c r="P16" s="55"/>
      <c r="Q16" s="55"/>
      <c r="R16" s="55"/>
      <c r="S16" s="55"/>
      <c r="T16" s="55"/>
      <c r="U16" s="55"/>
      <c r="V16" s="55"/>
      <c r="W16" s="55"/>
      <c r="X16" s="55"/>
      <c r="Y16" s="55"/>
      <c r="AB16" s="254"/>
      <c r="AC16" s="254"/>
      <c r="AD16" s="254"/>
      <c r="AE16" s="254"/>
    </row>
    <row r="17" spans="1:47" ht="24.95" customHeight="1" x14ac:dyDescent="0.25">
      <c r="B17" s="267"/>
      <c r="C17" s="267"/>
      <c r="D17" s="267"/>
      <c r="E17" s="267"/>
      <c r="F17" s="267"/>
      <c r="G17" s="267"/>
      <c r="H17" s="267"/>
      <c r="I17" s="267"/>
      <c r="J17" s="267"/>
      <c r="K17" s="267"/>
      <c r="L17" s="267"/>
      <c r="M17" s="267"/>
      <c r="N17" s="267"/>
      <c r="O17" s="267"/>
      <c r="P17" s="267"/>
      <c r="Q17" s="267"/>
      <c r="R17" s="267"/>
      <c r="S17" s="267"/>
      <c r="T17" s="267"/>
      <c r="U17" s="267"/>
      <c r="V17" s="267"/>
      <c r="W17" s="267"/>
      <c r="X17" s="267"/>
      <c r="Y17" s="267"/>
    </row>
    <row r="18" spans="1:47" ht="24.95" customHeight="1" x14ac:dyDescent="0.25">
      <c r="B18" s="267"/>
      <c r="C18" s="267"/>
      <c r="D18" s="267"/>
      <c r="E18" s="267"/>
      <c r="F18" s="267"/>
      <c r="G18" s="267"/>
      <c r="H18" s="267"/>
      <c r="I18" s="267"/>
      <c r="J18" s="267"/>
      <c r="K18" s="267"/>
      <c r="L18" s="267"/>
      <c r="M18" s="267"/>
      <c r="N18" s="267"/>
      <c r="O18" s="267"/>
      <c r="P18" s="267"/>
      <c r="Q18" s="267"/>
      <c r="R18" s="267"/>
      <c r="S18" s="267"/>
      <c r="T18" s="267"/>
      <c r="U18" s="267"/>
      <c r="V18" s="267"/>
      <c r="W18" s="267"/>
      <c r="X18" s="267"/>
      <c r="Y18" s="267"/>
    </row>
    <row r="19" spans="1:47" ht="24.95" customHeight="1" thickBot="1" x14ac:dyDescent="0.3">
      <c r="B19" s="267"/>
      <c r="C19" s="267"/>
      <c r="D19" s="267"/>
      <c r="E19" s="267"/>
      <c r="F19" s="267"/>
      <c r="G19" s="267"/>
      <c r="H19" s="267"/>
      <c r="I19" s="267"/>
      <c r="J19" s="267"/>
      <c r="K19" s="267"/>
      <c r="L19" s="267"/>
      <c r="M19" s="267"/>
      <c r="N19" s="267"/>
      <c r="O19" s="267"/>
      <c r="P19" s="267"/>
      <c r="Q19" s="267"/>
      <c r="R19" s="267"/>
      <c r="S19" s="267"/>
      <c r="T19" s="267"/>
      <c r="U19" s="267"/>
      <c r="V19" s="267"/>
      <c r="W19" s="267"/>
      <c r="X19" s="267"/>
      <c r="Y19" s="267"/>
    </row>
    <row r="20" spans="1:47" ht="24.95" customHeight="1" x14ac:dyDescent="0.25">
      <c r="B20" s="12"/>
      <c r="C20" s="12"/>
      <c r="D20" s="12"/>
      <c r="E20" s="627" t="s">
        <v>82</v>
      </c>
      <c r="F20" s="628"/>
      <c r="G20" s="628"/>
      <c r="H20" s="628"/>
      <c r="I20" s="631" t="s">
        <v>40</v>
      </c>
      <c r="J20" s="631"/>
      <c r="K20" s="631"/>
      <c r="L20" s="632"/>
      <c r="O20" s="268"/>
      <c r="P20" s="620" t="s">
        <v>293</v>
      </c>
      <c r="Q20" s="621"/>
      <c r="R20" s="621"/>
      <c r="S20" s="621"/>
      <c r="T20" s="621"/>
      <c r="U20" s="621"/>
      <c r="V20" s="622"/>
      <c r="W20" s="268"/>
      <c r="X20" s="268"/>
      <c r="Y20" s="268"/>
      <c r="AA20" s="269"/>
      <c r="AB20" s="270"/>
      <c r="AC20" s="270"/>
      <c r="AD20" s="270"/>
      <c r="AM20" s="269"/>
      <c r="AN20" s="269"/>
      <c r="AO20" s="269"/>
      <c r="AP20" s="269"/>
      <c r="AQ20" s="269"/>
      <c r="AR20" s="269"/>
      <c r="AS20" s="269"/>
      <c r="AT20" s="269"/>
      <c r="AU20" s="269"/>
    </row>
    <row r="21" spans="1:47" ht="24.95" customHeight="1" thickBot="1" x14ac:dyDescent="0.3">
      <c r="B21" s="12"/>
      <c r="C21" s="12"/>
      <c r="D21" s="12"/>
      <c r="E21" s="629"/>
      <c r="F21" s="630"/>
      <c r="G21" s="630"/>
      <c r="H21" s="630"/>
      <c r="I21" s="633"/>
      <c r="J21" s="633"/>
      <c r="K21" s="633"/>
      <c r="L21" s="634"/>
      <c r="O21" s="53"/>
      <c r="P21" s="271" t="s">
        <v>294</v>
      </c>
      <c r="Q21" s="53"/>
      <c r="R21" s="53"/>
      <c r="S21" s="53" t="s">
        <v>295</v>
      </c>
      <c r="T21" s="53"/>
      <c r="U21" s="53"/>
      <c r="V21" s="272" t="s">
        <v>296</v>
      </c>
      <c r="W21" s="53"/>
      <c r="X21" s="53"/>
      <c r="Y21" s="53"/>
      <c r="AC21" s="254"/>
      <c r="AD21" s="254"/>
    </row>
    <row r="22" spans="1:47" ht="24.95" customHeight="1" x14ac:dyDescent="0.25">
      <c r="B22" s="12"/>
      <c r="C22" s="12"/>
      <c r="D22" s="12"/>
      <c r="E22" s="273" t="s">
        <v>72</v>
      </c>
      <c r="F22" s="274"/>
      <c r="G22" s="274"/>
      <c r="H22" s="274"/>
      <c r="I22" s="635">
        <v>3.45</v>
      </c>
      <c r="J22" s="635"/>
      <c r="K22" s="635"/>
      <c r="L22" s="636"/>
      <c r="O22" s="53"/>
      <c r="P22" s="271">
        <v>1.5</v>
      </c>
      <c r="Q22" s="53"/>
      <c r="R22" s="53"/>
      <c r="S22" s="53">
        <v>3.45</v>
      </c>
      <c r="T22" s="53"/>
      <c r="U22" s="53"/>
      <c r="V22" s="272">
        <v>4.49</v>
      </c>
      <c r="W22" s="53"/>
      <c r="X22" s="53"/>
      <c r="Y22" s="53"/>
      <c r="AC22" s="254"/>
      <c r="AD22" s="254"/>
    </row>
    <row r="23" spans="1:47" ht="24.95" customHeight="1" x14ac:dyDescent="0.25">
      <c r="B23" s="12"/>
      <c r="C23" s="12"/>
      <c r="D23" s="12"/>
      <c r="E23" s="273" t="s">
        <v>73</v>
      </c>
      <c r="F23" s="274"/>
      <c r="G23" s="274"/>
      <c r="H23" s="274"/>
      <c r="I23" s="616">
        <v>0.48</v>
      </c>
      <c r="J23" s="616"/>
      <c r="K23" s="616"/>
      <c r="L23" s="617"/>
      <c r="O23" s="53"/>
      <c r="P23" s="271">
        <v>0.3</v>
      </c>
      <c r="Q23" s="53"/>
      <c r="R23" s="53"/>
      <c r="S23" s="53">
        <v>0.48</v>
      </c>
      <c r="T23" s="53"/>
      <c r="U23" s="53"/>
      <c r="V23" s="272">
        <v>0.82</v>
      </c>
      <c r="W23" s="53"/>
      <c r="X23" s="53"/>
      <c r="Y23" s="53"/>
      <c r="AC23" s="254"/>
      <c r="AD23" s="254"/>
    </row>
    <row r="24" spans="1:47" ht="24.95" customHeight="1" x14ac:dyDescent="0.25">
      <c r="B24" s="12"/>
      <c r="C24" s="12"/>
      <c r="D24" s="12"/>
      <c r="E24" s="273" t="s">
        <v>74</v>
      </c>
      <c r="F24" s="274"/>
      <c r="G24" s="274"/>
      <c r="H24" s="274"/>
      <c r="I24" s="616">
        <v>0.85</v>
      </c>
      <c r="J24" s="616"/>
      <c r="K24" s="616"/>
      <c r="L24" s="617"/>
      <c r="O24" s="53"/>
      <c r="P24" s="271">
        <v>0.56000000000000005</v>
      </c>
      <c r="Q24" s="53"/>
      <c r="R24" s="53"/>
      <c r="S24" s="53">
        <v>0.85</v>
      </c>
      <c r="T24" s="53"/>
      <c r="U24" s="53"/>
      <c r="V24" s="272">
        <v>0.89</v>
      </c>
      <c r="W24" s="53"/>
      <c r="X24" s="53"/>
      <c r="Y24" s="53"/>
      <c r="AC24" s="254"/>
      <c r="AD24" s="254"/>
    </row>
    <row r="25" spans="1:47" ht="24.95" customHeight="1" x14ac:dyDescent="0.25">
      <c r="B25" s="12"/>
      <c r="C25" s="12"/>
      <c r="D25" s="12"/>
      <c r="E25" s="273" t="s">
        <v>75</v>
      </c>
      <c r="F25" s="274"/>
      <c r="G25" s="274"/>
      <c r="H25" s="274"/>
      <c r="I25" s="616">
        <v>0.85</v>
      </c>
      <c r="J25" s="616"/>
      <c r="K25" s="616"/>
      <c r="L25" s="617"/>
      <c r="O25" s="53"/>
      <c r="P25" s="271">
        <v>0.85</v>
      </c>
      <c r="Q25" s="53"/>
      <c r="R25" s="53"/>
      <c r="S25" s="53">
        <v>0.85</v>
      </c>
      <c r="T25" s="53"/>
      <c r="U25" s="53"/>
      <c r="V25" s="272">
        <v>1.1100000000000001</v>
      </c>
      <c r="W25" s="53"/>
      <c r="X25" s="53"/>
      <c r="Y25" s="53"/>
      <c r="AC25" s="254"/>
      <c r="AD25" s="254"/>
    </row>
    <row r="26" spans="1:47" ht="24.95" customHeight="1" x14ac:dyDescent="0.25">
      <c r="B26" s="12"/>
      <c r="C26" s="12"/>
      <c r="D26" s="12"/>
      <c r="E26" s="273" t="s">
        <v>76</v>
      </c>
      <c r="F26" s="274"/>
      <c r="G26" s="274"/>
      <c r="H26" s="274"/>
      <c r="I26" s="616">
        <v>5.1100000000000003</v>
      </c>
      <c r="J26" s="616"/>
      <c r="K26" s="616"/>
      <c r="L26" s="617"/>
      <c r="O26" s="53"/>
      <c r="P26" s="271">
        <v>3.5</v>
      </c>
      <c r="Q26" s="53"/>
      <c r="R26" s="53"/>
      <c r="S26" s="53">
        <v>5.1100000000000003</v>
      </c>
      <c r="T26" s="53"/>
      <c r="U26" s="53"/>
      <c r="V26" s="272">
        <v>6.22</v>
      </c>
      <c r="W26" s="53"/>
      <c r="X26" s="53"/>
      <c r="Y26" s="53"/>
      <c r="Z26" s="296"/>
      <c r="AA26" s="297"/>
      <c r="AB26" s="275"/>
      <c r="AC26" s="254"/>
      <c r="AD26" s="254"/>
    </row>
    <row r="27" spans="1:47" ht="24.95" customHeight="1" x14ac:dyDescent="0.25">
      <c r="B27" s="12"/>
      <c r="C27" s="12"/>
      <c r="D27" s="12"/>
      <c r="E27" s="273" t="s">
        <v>77</v>
      </c>
      <c r="F27" s="274"/>
      <c r="G27" s="274"/>
      <c r="H27" s="274"/>
      <c r="I27" s="616">
        <v>0.65</v>
      </c>
      <c r="J27" s="616"/>
      <c r="K27" s="616"/>
      <c r="L27" s="617"/>
      <c r="O27" s="53"/>
      <c r="P27" s="271">
        <v>0.65</v>
      </c>
      <c r="Q27" s="53"/>
      <c r="R27" s="53"/>
      <c r="S27" s="53">
        <v>0.65</v>
      </c>
      <c r="T27" s="53"/>
      <c r="U27" s="53"/>
      <c r="V27" s="272">
        <v>0.65</v>
      </c>
      <c r="W27" s="53"/>
      <c r="X27" s="53"/>
      <c r="Y27" s="53"/>
      <c r="AC27" s="254"/>
      <c r="AD27" s="254"/>
    </row>
    <row r="28" spans="1:47" ht="24.95" customHeight="1" x14ac:dyDescent="0.25">
      <c r="B28" s="12"/>
      <c r="C28" s="12"/>
      <c r="D28" s="12"/>
      <c r="E28" s="273" t="s">
        <v>78</v>
      </c>
      <c r="F28" s="274"/>
      <c r="G28" s="274"/>
      <c r="H28" s="274"/>
      <c r="I28" s="616">
        <v>3</v>
      </c>
      <c r="J28" s="616"/>
      <c r="K28" s="616"/>
      <c r="L28" s="617"/>
      <c r="O28" s="53"/>
      <c r="P28" s="271">
        <v>3</v>
      </c>
      <c r="Q28" s="53"/>
      <c r="R28" s="53"/>
      <c r="S28" s="53">
        <v>3</v>
      </c>
      <c r="T28" s="53"/>
      <c r="U28" s="53"/>
      <c r="V28" s="272">
        <v>3</v>
      </c>
      <c r="W28" s="53"/>
      <c r="X28" s="53"/>
      <c r="Y28" s="53"/>
      <c r="AC28" s="254"/>
      <c r="AD28" s="254"/>
    </row>
    <row r="29" spans="1:47" ht="24.95" customHeight="1" thickBot="1" x14ac:dyDescent="0.3">
      <c r="B29" s="12"/>
      <c r="C29" s="12"/>
      <c r="D29" s="12"/>
      <c r="E29" s="273" t="s">
        <v>79</v>
      </c>
      <c r="F29" s="274"/>
      <c r="G29" s="274"/>
      <c r="H29" s="274"/>
      <c r="I29" s="616"/>
      <c r="J29" s="616"/>
      <c r="K29" s="616"/>
      <c r="L29" s="617"/>
      <c r="O29" s="53"/>
      <c r="P29" s="276">
        <v>2</v>
      </c>
      <c r="Q29" s="277"/>
      <c r="R29" s="277"/>
      <c r="S29" s="277">
        <v>2</v>
      </c>
      <c r="T29" s="277"/>
      <c r="U29" s="277"/>
      <c r="V29" s="278">
        <v>5</v>
      </c>
      <c r="W29" s="53"/>
      <c r="X29" s="53"/>
      <c r="Y29" s="53"/>
      <c r="AC29" s="254"/>
      <c r="AD29" s="254"/>
    </row>
    <row r="30" spans="1:47" ht="24.95" customHeight="1" thickBot="1" x14ac:dyDescent="0.3">
      <c r="B30" s="12"/>
      <c r="C30" s="12"/>
      <c r="D30" s="12"/>
      <c r="E30" s="273" t="s">
        <v>83</v>
      </c>
      <c r="F30" s="274"/>
      <c r="G30" s="274"/>
      <c r="H30" s="274"/>
      <c r="I30" s="616"/>
      <c r="J30" s="616"/>
      <c r="K30" s="616"/>
      <c r="L30" s="617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AB30" s="279"/>
      <c r="AC30" s="254"/>
      <c r="AD30" s="254"/>
      <c r="AE30" s="254"/>
      <c r="AF30" s="254"/>
      <c r="AG30" s="254"/>
      <c r="AH30" s="254"/>
      <c r="AI30" s="254"/>
      <c r="AJ30" s="254"/>
    </row>
    <row r="31" spans="1:47" ht="24.95" customHeight="1" thickBot="1" x14ac:dyDescent="0.3">
      <c r="A31" s="54"/>
      <c r="B31" s="292"/>
      <c r="C31" s="280"/>
      <c r="D31" s="281"/>
      <c r="E31" s="282" t="s">
        <v>41</v>
      </c>
      <c r="F31" s="283"/>
      <c r="G31" s="283"/>
      <c r="H31" s="283"/>
      <c r="I31" s="618">
        <f>TRUNC((((((1+I22/100+I23/100+I24/100)*(1+I25/100)*(1+I26/100))/(1-(I27/100+I28/100+I29/100+I30/100)))-1)*100),2)</f>
        <v>15.27</v>
      </c>
      <c r="J31" s="618"/>
      <c r="K31" s="618"/>
      <c r="L31" s="619"/>
      <c r="M31" s="284"/>
      <c r="N31" s="284"/>
      <c r="O31" s="284"/>
      <c r="P31" s="620" t="s">
        <v>297</v>
      </c>
      <c r="Q31" s="621"/>
      <c r="R31" s="621"/>
      <c r="S31" s="621"/>
      <c r="T31" s="621"/>
      <c r="U31" s="621"/>
      <c r="V31" s="622"/>
      <c r="W31" s="284"/>
      <c r="X31" s="284"/>
      <c r="Y31" s="12"/>
      <c r="Z31" s="54"/>
      <c r="AB31" s="285"/>
      <c r="AC31" s="285"/>
      <c r="AD31" s="285"/>
      <c r="AE31" s="285"/>
      <c r="AF31" s="285"/>
      <c r="AG31" s="285"/>
      <c r="AH31" s="285"/>
      <c r="AI31" s="285"/>
      <c r="AJ31" s="285"/>
    </row>
    <row r="32" spans="1:47" ht="24.95" customHeight="1" thickBot="1" x14ac:dyDescent="0.3">
      <c r="A32" s="54"/>
      <c r="B32" s="292"/>
      <c r="C32" s="280"/>
      <c r="D32" s="281"/>
      <c r="E32" s="281"/>
      <c r="F32" s="281"/>
      <c r="G32" s="281"/>
      <c r="H32" s="281"/>
      <c r="I32" s="281"/>
      <c r="J32" s="281"/>
      <c r="K32" s="284"/>
      <c r="L32" s="284"/>
      <c r="M32" s="284"/>
      <c r="N32" s="284"/>
      <c r="O32" s="284"/>
      <c r="P32" s="276">
        <v>11.1</v>
      </c>
      <c r="Q32" s="277"/>
      <c r="R32" s="277"/>
      <c r="S32" s="277">
        <v>14.02</v>
      </c>
      <c r="T32" s="277"/>
      <c r="U32" s="277"/>
      <c r="V32" s="278">
        <v>16.8</v>
      </c>
      <c r="W32" s="284"/>
      <c r="X32" s="284"/>
      <c r="Y32" s="12"/>
      <c r="Z32" s="54"/>
      <c r="AB32" s="285"/>
      <c r="AC32" s="285"/>
      <c r="AD32" s="285"/>
      <c r="AE32" s="285"/>
      <c r="AF32" s="285"/>
      <c r="AG32" s="285"/>
      <c r="AH32" s="285"/>
      <c r="AI32" s="285"/>
      <c r="AJ32" s="285"/>
    </row>
    <row r="33" spans="1:36" ht="24.95" customHeight="1" x14ac:dyDescent="0.25">
      <c r="A33" s="54"/>
      <c r="B33" s="292"/>
      <c r="C33" s="280"/>
      <c r="D33" s="281"/>
      <c r="E33" s="281"/>
      <c r="F33" s="281"/>
      <c r="G33" s="281"/>
      <c r="H33" s="281"/>
      <c r="I33" s="281"/>
      <c r="J33" s="281"/>
      <c r="K33" s="284"/>
      <c r="L33" s="284"/>
      <c r="M33" s="284"/>
      <c r="N33" s="284"/>
      <c r="O33" s="284"/>
      <c r="P33" s="614"/>
      <c r="Q33" s="614"/>
      <c r="R33" s="614"/>
      <c r="S33" s="614"/>
      <c r="T33" s="614"/>
      <c r="U33" s="614"/>
      <c r="V33" s="614"/>
      <c r="W33" s="284"/>
      <c r="X33" s="284"/>
      <c r="Y33" s="12"/>
      <c r="Z33" s="54"/>
      <c r="AB33" s="285"/>
      <c r="AC33" s="285"/>
      <c r="AD33" s="285"/>
      <c r="AE33" s="285"/>
      <c r="AF33" s="285"/>
      <c r="AG33" s="285"/>
      <c r="AH33" s="285"/>
      <c r="AI33" s="285"/>
      <c r="AJ33" s="285"/>
    </row>
    <row r="34" spans="1:36" ht="24.95" customHeight="1" x14ac:dyDescent="0.25">
      <c r="B34" s="623" t="s">
        <v>84</v>
      </c>
      <c r="C34" s="623"/>
      <c r="D34" s="623"/>
      <c r="E34" s="623"/>
      <c r="F34" s="623"/>
      <c r="G34" s="623"/>
      <c r="H34" s="623"/>
      <c r="I34" s="623"/>
      <c r="J34" s="623"/>
      <c r="K34" s="623"/>
      <c r="L34" s="623"/>
      <c r="M34" s="623"/>
      <c r="N34" s="623"/>
      <c r="O34" s="623"/>
      <c r="P34" s="623"/>
      <c r="Q34" s="623"/>
      <c r="R34" s="623"/>
      <c r="S34" s="623"/>
      <c r="T34" s="623"/>
      <c r="U34" s="623"/>
      <c r="V34" s="623"/>
      <c r="W34" s="623"/>
      <c r="X34" s="623"/>
      <c r="Y34" s="623"/>
      <c r="AB34" s="254"/>
      <c r="AC34" s="254"/>
      <c r="AD34" s="286"/>
      <c r="AE34" s="287"/>
      <c r="AF34" s="254"/>
      <c r="AG34" s="254"/>
      <c r="AH34" s="254"/>
      <c r="AI34" s="254"/>
      <c r="AJ34" s="254"/>
    </row>
    <row r="35" spans="1:36" ht="24.95" customHeight="1" x14ac:dyDescent="0.25">
      <c r="B35" s="615"/>
      <c r="C35" s="615"/>
      <c r="D35" s="615"/>
      <c r="E35" s="615"/>
      <c r="F35" s="615"/>
      <c r="G35" s="615"/>
      <c r="H35" s="615"/>
      <c r="I35" s="615"/>
      <c r="J35" s="615"/>
      <c r="K35" s="615"/>
      <c r="L35" s="615"/>
      <c r="M35" s="615"/>
      <c r="N35" s="615"/>
      <c r="O35" s="615"/>
      <c r="P35" s="615"/>
      <c r="Q35" s="615"/>
      <c r="R35" s="615"/>
      <c r="S35" s="615"/>
      <c r="T35" s="615"/>
      <c r="U35" s="615"/>
      <c r="V35" s="615"/>
      <c r="W35" s="615"/>
      <c r="X35" s="615"/>
      <c r="Y35" s="615"/>
      <c r="AB35" s="254"/>
      <c r="AC35" s="254"/>
      <c r="AD35" s="254"/>
      <c r="AE35" s="254"/>
      <c r="AF35" s="254"/>
      <c r="AG35" s="254"/>
      <c r="AH35" s="254"/>
      <c r="AI35" s="254"/>
      <c r="AJ35" s="254"/>
    </row>
    <row r="36" spans="1:36" ht="24.95" customHeight="1" x14ac:dyDescent="0.25">
      <c r="B36" s="612" t="s">
        <v>85</v>
      </c>
      <c r="C36" s="612"/>
      <c r="D36" s="612"/>
      <c r="E36" s="612"/>
      <c r="F36" s="612"/>
      <c r="G36" s="612"/>
      <c r="H36" s="612"/>
      <c r="I36" s="612"/>
      <c r="J36" s="612"/>
      <c r="K36" s="612"/>
      <c r="L36" s="612"/>
      <c r="M36" s="612"/>
      <c r="N36" s="612"/>
      <c r="O36" s="612"/>
      <c r="P36" s="612"/>
      <c r="Q36" s="612"/>
      <c r="R36" s="612"/>
      <c r="S36" s="612"/>
      <c r="T36" s="612"/>
      <c r="U36" s="612"/>
      <c r="V36" s="612"/>
      <c r="W36" s="612"/>
      <c r="X36" s="612"/>
      <c r="Y36" s="612"/>
      <c r="AB36" s="254"/>
      <c r="AC36" s="254"/>
      <c r="AD36" s="286"/>
      <c r="AE36" s="254"/>
      <c r="AF36" s="254"/>
      <c r="AG36" s="254"/>
      <c r="AH36" s="254"/>
      <c r="AI36" s="254"/>
      <c r="AJ36" s="254"/>
    </row>
    <row r="37" spans="1:36" ht="24.95" customHeight="1" x14ac:dyDescent="0.25">
      <c r="B37" s="613"/>
      <c r="C37" s="613"/>
      <c r="D37" s="613"/>
      <c r="E37" s="613"/>
      <c r="F37" s="613"/>
      <c r="G37" s="613"/>
      <c r="H37" s="613"/>
      <c r="I37" s="613"/>
      <c r="J37" s="613"/>
      <c r="K37" s="613"/>
      <c r="L37" s="613"/>
      <c r="M37" s="613"/>
      <c r="N37" s="613"/>
      <c r="O37" s="613"/>
      <c r="P37" s="613"/>
      <c r="Q37" s="613"/>
      <c r="R37" s="613"/>
      <c r="S37" s="613"/>
      <c r="T37" s="613"/>
      <c r="U37" s="613"/>
      <c r="V37" s="613"/>
      <c r="W37" s="613"/>
      <c r="X37" s="613"/>
      <c r="Y37" s="613"/>
      <c r="AB37" s="254"/>
      <c r="AC37" s="254"/>
      <c r="AD37" s="254"/>
      <c r="AE37" s="254"/>
      <c r="AF37" s="254"/>
      <c r="AG37" s="254"/>
      <c r="AH37" s="254"/>
      <c r="AI37" s="254"/>
      <c r="AJ37" s="254"/>
    </row>
    <row r="38" spans="1:36" ht="24.95" customHeight="1" x14ac:dyDescent="0.25">
      <c r="B38" s="293"/>
      <c r="C38" s="293"/>
      <c r="D38" s="293"/>
      <c r="E38" s="293"/>
      <c r="F38" s="293"/>
      <c r="G38" s="293"/>
      <c r="H38" s="293"/>
      <c r="I38" s="293"/>
      <c r="J38" s="293"/>
      <c r="K38" s="293"/>
      <c r="L38" s="293"/>
      <c r="M38" s="293"/>
      <c r="N38" s="293"/>
      <c r="O38" s="293"/>
      <c r="P38" s="293"/>
      <c r="Q38" s="293"/>
      <c r="R38" s="293"/>
      <c r="S38" s="293"/>
      <c r="T38" s="293"/>
      <c r="U38" s="293"/>
      <c r="V38" s="293"/>
      <c r="W38" s="293"/>
      <c r="X38" s="293"/>
      <c r="Y38" s="293"/>
    </row>
    <row r="39" spans="1:36" ht="24.95" customHeight="1" x14ac:dyDescent="0.25">
      <c r="A39" s="54"/>
      <c r="B39" s="292" t="s">
        <v>87</v>
      </c>
      <c r="C39" s="288"/>
      <c r="D39" s="288"/>
      <c r="E39" s="288"/>
      <c r="F39" s="288"/>
      <c r="G39" s="288"/>
      <c r="H39" s="288"/>
      <c r="I39" s="288"/>
      <c r="J39" s="280"/>
      <c r="K39" s="280"/>
      <c r="L39" s="280"/>
      <c r="M39" s="289"/>
      <c r="N39" s="289"/>
      <c r="O39" s="289"/>
      <c r="P39" s="290"/>
      <c r="Q39" s="290"/>
      <c r="R39" s="290"/>
      <c r="S39" s="290"/>
      <c r="T39" s="290"/>
      <c r="U39" s="290"/>
      <c r="V39" s="290"/>
      <c r="W39" s="290"/>
      <c r="X39" s="290"/>
      <c r="Y39" s="290"/>
      <c r="Z39" s="54"/>
    </row>
    <row r="40" spans="1:36" ht="24.95" customHeight="1" x14ac:dyDescent="0.25">
      <c r="A40" s="54"/>
      <c r="B40" s="292" t="s">
        <v>88</v>
      </c>
      <c r="C40" s="280"/>
      <c r="D40" s="281"/>
      <c r="E40" s="281"/>
      <c r="F40" s="281"/>
      <c r="G40" s="281"/>
      <c r="H40" s="281"/>
      <c r="I40" s="281"/>
      <c r="J40" s="281"/>
      <c r="K40" s="284"/>
      <c r="L40" s="284"/>
      <c r="M40" s="284"/>
      <c r="N40" s="284"/>
      <c r="O40" s="284"/>
      <c r="P40" s="284"/>
      <c r="Q40" s="284"/>
      <c r="R40" s="284"/>
      <c r="S40" s="284"/>
      <c r="T40" s="284"/>
      <c r="U40" s="284"/>
      <c r="V40" s="284"/>
      <c r="W40" s="284"/>
      <c r="X40" s="284"/>
      <c r="Y40" s="12"/>
      <c r="Z40" s="54"/>
      <c r="AB40" s="285"/>
      <c r="AC40" s="285"/>
      <c r="AD40" s="285"/>
      <c r="AE40" s="285"/>
      <c r="AF40" s="285"/>
      <c r="AG40" s="285"/>
      <c r="AH40" s="285"/>
      <c r="AI40" s="285"/>
      <c r="AJ40" s="285"/>
    </row>
    <row r="41" spans="1:36" ht="24.95" customHeight="1" x14ac:dyDescent="0.25">
      <c r="A41" s="54"/>
      <c r="B41" s="292" t="s">
        <v>89</v>
      </c>
      <c r="C41" s="280"/>
      <c r="D41" s="281"/>
      <c r="E41" s="281"/>
      <c r="F41" s="281"/>
      <c r="G41" s="281"/>
      <c r="H41" s="281"/>
      <c r="I41" s="281"/>
      <c r="J41" s="281"/>
      <c r="K41" s="284"/>
      <c r="L41" s="284"/>
      <c r="M41" s="284"/>
      <c r="N41" s="284"/>
      <c r="O41" s="284"/>
      <c r="P41" s="284"/>
      <c r="Q41" s="284"/>
      <c r="R41" s="284"/>
      <c r="S41" s="284"/>
      <c r="T41" s="284"/>
      <c r="U41" s="284"/>
      <c r="V41" s="284"/>
      <c r="W41" s="284"/>
      <c r="X41" s="284"/>
      <c r="Y41" s="12"/>
      <c r="Z41" s="54"/>
      <c r="AB41" s="285"/>
      <c r="AC41" s="285"/>
      <c r="AD41" s="285"/>
      <c r="AE41" s="285"/>
      <c r="AF41" s="285"/>
      <c r="AG41" s="285"/>
      <c r="AH41" s="285"/>
      <c r="AI41" s="285"/>
      <c r="AJ41" s="285"/>
    </row>
    <row r="42" spans="1:36" ht="24.95" customHeight="1" x14ac:dyDescent="0.25">
      <c r="A42" s="54"/>
      <c r="B42" s="292" t="s">
        <v>90</v>
      </c>
      <c r="C42" s="288"/>
      <c r="D42" s="288"/>
      <c r="E42" s="288"/>
      <c r="F42" s="288"/>
      <c r="G42" s="288"/>
      <c r="H42" s="288"/>
      <c r="I42" s="288"/>
      <c r="J42" s="280"/>
      <c r="K42" s="280"/>
      <c r="L42" s="280"/>
      <c r="M42" s="289"/>
      <c r="N42" s="289"/>
      <c r="O42" s="289"/>
      <c r="P42" s="290"/>
      <c r="Q42" s="290"/>
      <c r="R42" s="290"/>
      <c r="S42" s="290"/>
      <c r="T42" s="290"/>
      <c r="U42" s="290"/>
      <c r="V42" s="290"/>
      <c r="W42" s="290"/>
      <c r="X42" s="290"/>
      <c r="Y42" s="290"/>
      <c r="Z42" s="54"/>
    </row>
    <row r="43" spans="1:36" ht="24.95" customHeight="1" x14ac:dyDescent="0.25">
      <c r="A43" s="54"/>
      <c r="B43" s="292" t="s">
        <v>91</v>
      </c>
      <c r="C43" s="280"/>
      <c r="D43" s="281"/>
      <c r="E43" s="281"/>
      <c r="F43" s="281"/>
      <c r="G43" s="281"/>
      <c r="H43" s="281"/>
      <c r="I43" s="281"/>
      <c r="J43" s="281"/>
      <c r="K43" s="284"/>
      <c r="L43" s="284"/>
      <c r="M43" s="284"/>
      <c r="N43" s="284"/>
      <c r="O43" s="284"/>
      <c r="P43" s="284"/>
      <c r="Q43" s="284"/>
      <c r="R43" s="284"/>
      <c r="S43" s="284"/>
      <c r="T43" s="284"/>
      <c r="U43" s="284"/>
      <c r="V43" s="284"/>
      <c r="W43" s="284"/>
      <c r="X43" s="284"/>
      <c r="Y43" s="12"/>
      <c r="Z43" s="54"/>
      <c r="AB43" s="285"/>
      <c r="AC43" s="285"/>
      <c r="AD43" s="285"/>
      <c r="AE43" s="285"/>
      <c r="AF43" s="285"/>
      <c r="AG43" s="285"/>
      <c r="AH43" s="285"/>
      <c r="AI43" s="285"/>
      <c r="AJ43" s="285"/>
    </row>
    <row r="44" spans="1:36" ht="24.95" customHeight="1" x14ac:dyDescent="0.25">
      <c r="A44" s="54"/>
      <c r="B44" s="292" t="s">
        <v>92</v>
      </c>
      <c r="C44" s="280"/>
      <c r="D44" s="281"/>
      <c r="E44" s="281"/>
      <c r="F44" s="281"/>
      <c r="G44" s="281"/>
      <c r="H44" s="281"/>
      <c r="I44" s="281"/>
      <c r="J44" s="281"/>
      <c r="K44" s="284"/>
      <c r="L44" s="284"/>
      <c r="M44" s="284"/>
      <c r="N44" s="284"/>
      <c r="O44" s="284"/>
      <c r="P44" s="284"/>
      <c r="Q44" s="284"/>
      <c r="R44" s="284"/>
      <c r="S44" s="284"/>
      <c r="T44" s="284"/>
      <c r="U44" s="284"/>
      <c r="V44" s="284"/>
      <c r="W44" s="284"/>
      <c r="X44" s="284"/>
      <c r="Y44" s="12"/>
      <c r="Z44" s="54"/>
      <c r="AB44" s="285"/>
      <c r="AC44" s="285"/>
      <c r="AD44" s="285"/>
      <c r="AE44" s="285"/>
      <c r="AF44" s="285"/>
      <c r="AG44" s="285"/>
      <c r="AH44" s="285"/>
      <c r="AI44" s="285"/>
      <c r="AJ44" s="285"/>
    </row>
    <row r="45" spans="1:36" ht="24.95" customHeight="1" x14ac:dyDescent="0.25">
      <c r="A45" s="54"/>
      <c r="B45" s="280"/>
      <c r="C45" s="280"/>
      <c r="D45" s="281"/>
      <c r="E45" s="281"/>
      <c r="F45" s="281"/>
      <c r="G45" s="281"/>
      <c r="H45" s="281"/>
      <c r="I45" s="281"/>
      <c r="J45" s="281"/>
      <c r="K45" s="284"/>
      <c r="L45" s="284"/>
      <c r="M45" s="284"/>
      <c r="N45" s="284"/>
      <c r="O45" s="284"/>
      <c r="P45" s="284"/>
      <c r="Q45" s="284"/>
      <c r="R45" s="284"/>
      <c r="S45" s="284"/>
      <c r="T45" s="284"/>
      <c r="U45" s="284"/>
      <c r="V45" s="284"/>
      <c r="W45" s="284"/>
      <c r="X45" s="284"/>
      <c r="Y45" s="12"/>
      <c r="Z45" s="54"/>
      <c r="AB45" s="285"/>
      <c r="AC45" s="285"/>
      <c r="AD45" s="285"/>
      <c r="AE45" s="285"/>
      <c r="AF45" s="285"/>
      <c r="AG45" s="285"/>
      <c r="AH45" s="285"/>
      <c r="AI45" s="285"/>
      <c r="AJ45" s="285"/>
    </row>
    <row r="46" spans="1:36" s="54" customFormat="1" ht="24.95" customHeight="1" x14ac:dyDescent="0.25">
      <c r="B46" s="595" t="s">
        <v>42</v>
      </c>
      <c r="C46" s="595"/>
      <c r="D46" s="595"/>
      <c r="E46" s="595"/>
      <c r="F46" s="595"/>
      <c r="G46" s="595"/>
      <c r="H46" s="595"/>
      <c r="I46" s="595"/>
      <c r="J46" s="595"/>
      <c r="K46" s="595"/>
      <c r="L46" s="595"/>
      <c r="M46" s="595"/>
      <c r="N46" s="595"/>
      <c r="O46" s="595"/>
      <c r="P46" s="595"/>
      <c r="Q46" s="595"/>
      <c r="R46" s="595"/>
      <c r="S46" s="595"/>
      <c r="T46" s="595"/>
      <c r="U46" s="595"/>
      <c r="V46" s="595"/>
      <c r="W46" s="595"/>
      <c r="X46" s="595"/>
      <c r="Y46" s="595"/>
      <c r="Z46" s="295"/>
      <c r="AB46" s="291"/>
      <c r="AC46" s="291"/>
      <c r="AD46" s="291"/>
      <c r="AE46" s="291"/>
      <c r="AF46" s="291"/>
      <c r="AG46" s="291"/>
      <c r="AH46" s="291"/>
      <c r="AI46" s="291"/>
      <c r="AJ46" s="291"/>
    </row>
    <row r="47" spans="1:36" s="54" customFormat="1" ht="24.95" customHeight="1" x14ac:dyDescent="0.25">
      <c r="B47" s="613" t="str">
        <f>"Declaro para os devidos fins que, conforme legislação tributária do município de "&amp;G14&amp;", a base de cálculo do ISS para "&amp;G15&amp;", é de "&amp;(G16*100)&amp;"%, com a respectiva alíquota de "&amp;ROUND(K16*100,2)&amp;"% sobre o valor da mão de obra."</f>
        <v>Declaro para os devidos fins que, conforme legislação tributária do município de TERESINA - PI, a base de cálculo do ISS para Construção de Edifícios e Reformas (Quadras, unidades habitacionais, escolas, restaurantes, etc), é de 60%, com a respectiva alíquota de 3% sobre o valor da mão de obra.</v>
      </c>
      <c r="C47" s="613"/>
      <c r="D47" s="613"/>
      <c r="E47" s="613"/>
      <c r="F47" s="613"/>
      <c r="G47" s="613"/>
      <c r="H47" s="613"/>
      <c r="I47" s="613"/>
      <c r="J47" s="613"/>
      <c r="K47" s="613"/>
      <c r="L47" s="613"/>
      <c r="M47" s="613"/>
      <c r="N47" s="613"/>
      <c r="O47" s="613"/>
      <c r="P47" s="613"/>
      <c r="Q47" s="613"/>
      <c r="R47" s="613"/>
      <c r="S47" s="613"/>
      <c r="T47" s="613"/>
      <c r="U47" s="613"/>
      <c r="V47" s="613"/>
      <c r="W47" s="613"/>
      <c r="X47" s="613"/>
      <c r="Y47" s="613"/>
      <c r="Z47" s="295"/>
      <c r="AB47" s="291"/>
      <c r="AC47" s="291"/>
      <c r="AD47" s="291"/>
      <c r="AE47" s="291"/>
      <c r="AF47" s="291"/>
      <c r="AG47" s="291"/>
      <c r="AH47" s="291"/>
      <c r="AI47" s="291"/>
      <c r="AJ47" s="291"/>
    </row>
    <row r="48" spans="1:36" s="54" customFormat="1" ht="24.95" customHeight="1" x14ac:dyDescent="0.25">
      <c r="B48" s="613"/>
      <c r="C48" s="613"/>
      <c r="D48" s="613"/>
      <c r="E48" s="613"/>
      <c r="F48" s="613"/>
      <c r="G48" s="613"/>
      <c r="H48" s="613"/>
      <c r="I48" s="613"/>
      <c r="J48" s="613"/>
      <c r="K48" s="613"/>
      <c r="L48" s="613"/>
      <c r="M48" s="613"/>
      <c r="N48" s="613"/>
      <c r="O48" s="613"/>
      <c r="P48" s="613"/>
      <c r="Q48" s="613"/>
      <c r="R48" s="613"/>
      <c r="S48" s="613"/>
      <c r="T48" s="613"/>
      <c r="U48" s="613"/>
      <c r="V48" s="613"/>
      <c r="W48" s="613"/>
      <c r="X48" s="613"/>
      <c r="Y48" s="613"/>
      <c r="Z48" s="295"/>
      <c r="AB48" s="291"/>
      <c r="AC48" s="291"/>
      <c r="AD48" s="291"/>
      <c r="AE48" s="291"/>
      <c r="AF48" s="291"/>
      <c r="AG48" s="291"/>
      <c r="AH48" s="291"/>
      <c r="AI48" s="291"/>
      <c r="AJ48" s="291"/>
    </row>
    <row r="49" spans="2:36" s="54" customFormat="1" ht="24.95" customHeight="1" x14ac:dyDescent="0.25">
      <c r="B49" s="613"/>
      <c r="C49" s="613"/>
      <c r="D49" s="613"/>
      <c r="E49" s="613"/>
      <c r="F49" s="613"/>
      <c r="G49" s="613"/>
      <c r="H49" s="613"/>
      <c r="I49" s="613"/>
      <c r="J49" s="613"/>
      <c r="K49" s="613"/>
      <c r="L49" s="613"/>
      <c r="M49" s="613"/>
      <c r="N49" s="613"/>
      <c r="O49" s="613"/>
      <c r="P49" s="613"/>
      <c r="Q49" s="613"/>
      <c r="R49" s="613"/>
      <c r="S49" s="613"/>
      <c r="T49" s="613"/>
      <c r="U49" s="613"/>
      <c r="V49" s="613"/>
      <c r="W49" s="613"/>
      <c r="X49" s="613"/>
      <c r="Y49" s="613"/>
      <c r="Z49" s="295"/>
      <c r="AB49" s="291"/>
      <c r="AC49" s="291"/>
      <c r="AD49" s="291"/>
      <c r="AE49" s="291"/>
      <c r="AF49" s="291"/>
      <c r="AG49" s="291"/>
      <c r="AH49" s="291"/>
      <c r="AI49" s="291"/>
      <c r="AJ49" s="291"/>
    </row>
    <row r="50" spans="2:36" s="54" customFormat="1" ht="12.75" customHeight="1" x14ac:dyDescent="0.25">
      <c r="B50" s="290"/>
      <c r="C50" s="290"/>
      <c r="D50" s="290"/>
      <c r="E50" s="290"/>
      <c r="F50" s="290"/>
      <c r="G50" s="290"/>
      <c r="H50" s="290"/>
      <c r="I50" s="290"/>
      <c r="J50" s="290"/>
      <c r="K50" s="290"/>
      <c r="L50" s="290"/>
      <c r="M50" s="290"/>
      <c r="N50" s="290"/>
      <c r="O50" s="290"/>
      <c r="P50" s="290"/>
      <c r="Q50" s="290"/>
      <c r="R50" s="290"/>
      <c r="S50" s="290"/>
      <c r="T50" s="290"/>
      <c r="U50" s="290"/>
      <c r="V50" s="290"/>
      <c r="W50" s="290"/>
      <c r="X50" s="290"/>
      <c r="Y50" s="290"/>
      <c r="Z50" s="295"/>
      <c r="AB50" s="291"/>
      <c r="AC50" s="291"/>
      <c r="AD50" s="291"/>
      <c r="AE50" s="291"/>
      <c r="AF50" s="291"/>
      <c r="AG50" s="291"/>
      <c r="AH50" s="291"/>
      <c r="AI50" s="291"/>
      <c r="AJ50" s="291"/>
    </row>
    <row r="51" spans="2:36" s="54" customFormat="1" x14ac:dyDescent="0.25">
      <c r="B51" s="290"/>
      <c r="C51" s="290"/>
      <c r="D51" s="290"/>
      <c r="E51" s="290"/>
      <c r="F51" s="290"/>
      <c r="G51" s="290"/>
      <c r="H51" s="290"/>
      <c r="I51" s="290"/>
      <c r="J51" s="290"/>
      <c r="K51" s="290"/>
      <c r="L51" s="290"/>
      <c r="M51" s="290"/>
      <c r="N51" s="290"/>
      <c r="O51" s="290"/>
      <c r="P51" s="290"/>
      <c r="Q51" s="290"/>
      <c r="R51" s="290"/>
      <c r="S51" s="290"/>
      <c r="T51" s="290"/>
      <c r="U51" s="290"/>
      <c r="V51" s="290"/>
      <c r="W51" s="290"/>
      <c r="X51" s="290"/>
      <c r="Y51" s="290"/>
      <c r="Z51" s="295"/>
      <c r="AB51" s="291"/>
      <c r="AC51" s="291"/>
      <c r="AD51" s="291"/>
      <c r="AE51" s="291"/>
      <c r="AF51" s="291"/>
      <c r="AG51" s="291"/>
      <c r="AH51" s="291"/>
      <c r="AI51" s="291"/>
      <c r="AJ51" s="291"/>
    </row>
    <row r="52" spans="2:36" s="54" customFormat="1" x14ac:dyDescent="0.25">
      <c r="B52" s="290"/>
      <c r="C52" s="290"/>
      <c r="D52" s="290"/>
      <c r="E52" s="290"/>
      <c r="F52" s="290"/>
      <c r="G52" s="290"/>
      <c r="H52" s="290"/>
      <c r="I52" s="290"/>
      <c r="J52" s="290"/>
      <c r="K52" s="290"/>
      <c r="L52" s="290"/>
      <c r="M52" s="290"/>
      <c r="N52" s="290"/>
      <c r="O52" s="290"/>
      <c r="P52" s="290"/>
      <c r="Q52" s="290"/>
      <c r="R52" s="290"/>
      <c r="S52" s="290"/>
      <c r="T52" s="290"/>
      <c r="U52" s="290"/>
      <c r="V52" s="290"/>
      <c r="W52" s="290"/>
      <c r="X52" s="290"/>
      <c r="Y52" s="290"/>
      <c r="Z52" s="295"/>
      <c r="AB52" s="291"/>
      <c r="AC52" s="291"/>
      <c r="AD52" s="291"/>
      <c r="AE52" s="291"/>
      <c r="AF52" s="291"/>
      <c r="AG52" s="291"/>
      <c r="AH52" s="291"/>
      <c r="AI52" s="291"/>
      <c r="AJ52" s="291"/>
    </row>
    <row r="53" spans="2:36" s="54" customFormat="1" x14ac:dyDescent="0.25">
      <c r="B53" s="290"/>
      <c r="C53" s="290"/>
      <c r="D53" s="290"/>
      <c r="E53" s="290"/>
      <c r="F53" s="290"/>
      <c r="G53" s="290"/>
      <c r="H53" s="290"/>
      <c r="I53" s="290"/>
      <c r="J53" s="290"/>
      <c r="K53" s="290"/>
      <c r="L53" s="290"/>
      <c r="M53" s="290"/>
      <c r="N53" s="290"/>
      <c r="O53" s="290"/>
      <c r="P53" s="290"/>
      <c r="Q53" s="290"/>
      <c r="R53" s="290"/>
      <c r="S53" s="290"/>
      <c r="T53" s="290"/>
      <c r="U53" s="290"/>
      <c r="V53" s="290"/>
      <c r="W53" s="290"/>
      <c r="X53" s="290"/>
      <c r="Y53" s="290"/>
      <c r="Z53" s="295"/>
      <c r="AB53" s="291"/>
      <c r="AC53" s="291"/>
      <c r="AD53" s="291"/>
      <c r="AE53" s="291"/>
      <c r="AF53" s="291"/>
      <c r="AG53" s="291"/>
      <c r="AH53" s="291"/>
      <c r="AI53" s="291"/>
      <c r="AJ53" s="291"/>
    </row>
    <row r="54" spans="2:36" s="54" customFormat="1" x14ac:dyDescent="0.25">
      <c r="B54" s="290"/>
      <c r="C54" s="290"/>
      <c r="D54" s="290"/>
      <c r="E54" s="290"/>
      <c r="F54" s="290"/>
      <c r="G54" s="290"/>
      <c r="H54" s="290"/>
      <c r="I54" s="290"/>
      <c r="J54" s="290"/>
      <c r="K54" s="290"/>
      <c r="L54" s="290"/>
      <c r="M54" s="290"/>
      <c r="N54" s="290"/>
      <c r="O54" s="290"/>
      <c r="P54" s="290"/>
      <c r="Q54" s="290"/>
      <c r="R54" s="290"/>
      <c r="S54" s="290"/>
      <c r="T54" s="290"/>
      <c r="U54" s="290"/>
      <c r="V54" s="290"/>
      <c r="W54" s="290"/>
      <c r="X54" s="290"/>
      <c r="Y54" s="290"/>
      <c r="Z54" s="295"/>
      <c r="AB54" s="291"/>
      <c r="AC54" s="291"/>
      <c r="AD54" s="291"/>
      <c r="AE54" s="291"/>
      <c r="AF54" s="291"/>
      <c r="AG54" s="291"/>
      <c r="AH54" s="291"/>
      <c r="AI54" s="291"/>
      <c r="AJ54" s="291"/>
    </row>
    <row r="55" spans="2:36" s="54" customFormat="1" x14ac:dyDescent="0.25">
      <c r="B55" s="290"/>
      <c r="C55" s="290"/>
      <c r="D55" s="290"/>
      <c r="E55" s="290"/>
      <c r="F55" s="290"/>
      <c r="G55" s="290"/>
      <c r="H55" s="290"/>
      <c r="I55" s="290"/>
      <c r="J55" s="290"/>
      <c r="K55" s="290"/>
      <c r="L55" s="290"/>
      <c r="M55" s="290"/>
      <c r="N55" s="290"/>
      <c r="O55" s="290"/>
      <c r="P55" s="290"/>
      <c r="Q55" s="290"/>
      <c r="R55" s="290"/>
      <c r="S55" s="290"/>
      <c r="T55" s="290"/>
      <c r="U55" s="290"/>
      <c r="V55" s="290"/>
      <c r="W55" s="290"/>
      <c r="X55" s="290"/>
      <c r="Y55" s="290"/>
      <c r="Z55" s="295"/>
      <c r="AB55" s="291"/>
      <c r="AC55" s="291"/>
      <c r="AD55" s="291"/>
      <c r="AE55" s="291"/>
      <c r="AF55" s="291"/>
      <c r="AG55" s="291"/>
      <c r="AH55" s="291"/>
      <c r="AI55" s="291"/>
      <c r="AJ55" s="291"/>
    </row>
    <row r="56" spans="2:36" s="54" customFormat="1" x14ac:dyDescent="0.25">
      <c r="B56" s="290"/>
      <c r="C56" s="290"/>
      <c r="D56" s="290"/>
      <c r="E56" s="290"/>
      <c r="F56" s="290"/>
      <c r="G56" s="290"/>
      <c r="H56" s="290"/>
      <c r="I56" s="290"/>
      <c r="J56" s="290"/>
      <c r="K56" s="290"/>
      <c r="L56" s="290"/>
      <c r="M56" s="290"/>
      <c r="N56" s="290"/>
      <c r="O56" s="290"/>
      <c r="P56" s="290"/>
      <c r="Q56" s="290"/>
      <c r="R56" s="290"/>
      <c r="S56" s="290"/>
      <c r="T56" s="290"/>
      <c r="U56" s="290"/>
      <c r="V56" s="290"/>
      <c r="W56" s="290"/>
      <c r="X56" s="290"/>
      <c r="Y56" s="290"/>
      <c r="Z56" s="295"/>
      <c r="AB56" s="291"/>
      <c r="AC56" s="291"/>
      <c r="AD56" s="291"/>
      <c r="AE56" s="291"/>
      <c r="AF56" s="291"/>
      <c r="AG56" s="291"/>
      <c r="AH56" s="291"/>
      <c r="AI56" s="291"/>
      <c r="AJ56" s="291"/>
    </row>
    <row r="57" spans="2:36" s="54" customFormat="1" x14ac:dyDescent="0.25">
      <c r="B57" s="290"/>
      <c r="C57" s="290"/>
      <c r="D57" s="290"/>
      <c r="E57" s="290"/>
      <c r="F57" s="290"/>
      <c r="G57" s="290"/>
      <c r="H57" s="290"/>
      <c r="I57" s="290"/>
      <c r="J57" s="290"/>
      <c r="K57" s="290"/>
      <c r="L57" s="290"/>
      <c r="M57" s="290"/>
      <c r="N57" s="290"/>
      <c r="O57" s="290"/>
      <c r="P57" s="290"/>
      <c r="Q57" s="290"/>
      <c r="R57" s="290"/>
      <c r="S57" s="290"/>
      <c r="T57" s="290"/>
      <c r="U57" s="290"/>
      <c r="V57" s="290"/>
      <c r="W57" s="290"/>
      <c r="X57" s="290"/>
      <c r="Y57" s="290"/>
      <c r="Z57" s="295"/>
      <c r="AB57" s="291"/>
      <c r="AC57" s="291"/>
      <c r="AD57" s="291"/>
      <c r="AE57" s="291"/>
      <c r="AF57" s="291"/>
      <c r="AG57" s="291"/>
      <c r="AH57" s="291"/>
      <c r="AI57" s="291"/>
      <c r="AJ57" s="291"/>
    </row>
    <row r="58" spans="2:36" s="54" customFormat="1" x14ac:dyDescent="0.25">
      <c r="B58" s="290"/>
      <c r="C58" s="290"/>
      <c r="D58" s="290"/>
      <c r="E58" s="290"/>
      <c r="F58" s="290"/>
      <c r="G58" s="290"/>
      <c r="H58" s="290"/>
      <c r="I58" s="290"/>
      <c r="J58" s="290"/>
      <c r="K58" s="290"/>
      <c r="L58" s="290"/>
      <c r="M58" s="290"/>
      <c r="N58" s="290"/>
      <c r="O58" s="290"/>
      <c r="P58" s="290"/>
      <c r="Q58" s="290"/>
      <c r="R58" s="290"/>
      <c r="S58" s="290"/>
      <c r="T58" s="290"/>
      <c r="U58" s="290"/>
      <c r="V58" s="290"/>
      <c r="W58" s="290"/>
      <c r="X58" s="290"/>
      <c r="Y58" s="290"/>
      <c r="Z58" s="295"/>
      <c r="AB58" s="291"/>
      <c r="AC58" s="291"/>
      <c r="AD58" s="291"/>
      <c r="AE58" s="291"/>
      <c r="AF58" s="291"/>
      <c r="AG58" s="291"/>
      <c r="AH58" s="291"/>
      <c r="AI58" s="291"/>
      <c r="AJ58" s="291"/>
    </row>
    <row r="59" spans="2:36" s="54" customFormat="1" x14ac:dyDescent="0.25">
      <c r="B59" s="290"/>
      <c r="C59" s="290"/>
      <c r="D59" s="290"/>
      <c r="E59" s="290"/>
      <c r="F59" s="290"/>
      <c r="G59" s="290"/>
      <c r="H59" s="290"/>
      <c r="I59" s="290"/>
      <c r="J59" s="290"/>
      <c r="K59" s="290"/>
      <c r="L59" s="290"/>
      <c r="M59" s="290"/>
      <c r="N59" s="290"/>
      <c r="O59" s="290"/>
      <c r="P59" s="290"/>
      <c r="Q59" s="290"/>
      <c r="R59" s="290"/>
      <c r="S59" s="290"/>
      <c r="T59" s="290"/>
      <c r="U59" s="290"/>
      <c r="V59" s="290"/>
      <c r="W59" s="290"/>
      <c r="X59" s="290"/>
      <c r="Y59" s="290"/>
      <c r="Z59" s="295"/>
      <c r="AB59" s="291"/>
      <c r="AC59" s="291"/>
      <c r="AD59" s="291"/>
      <c r="AE59" s="291"/>
      <c r="AF59" s="291"/>
      <c r="AG59" s="291"/>
      <c r="AH59" s="291"/>
      <c r="AI59" s="291"/>
      <c r="AJ59" s="291"/>
    </row>
    <row r="60" spans="2:36" s="54" customFormat="1" x14ac:dyDescent="0.25">
      <c r="B60" s="290"/>
      <c r="C60" s="290"/>
      <c r="D60" s="290"/>
      <c r="E60" s="290"/>
      <c r="F60" s="290"/>
      <c r="G60" s="290"/>
      <c r="H60" s="290"/>
      <c r="I60" s="290"/>
      <c r="J60" s="290"/>
      <c r="K60" s="290"/>
      <c r="L60" s="290"/>
      <c r="M60" s="290"/>
      <c r="N60" s="290"/>
      <c r="O60" s="290"/>
      <c r="P60" s="290"/>
      <c r="Q60" s="290"/>
      <c r="R60" s="290"/>
      <c r="S60" s="290"/>
      <c r="T60" s="290"/>
      <c r="U60" s="290"/>
      <c r="V60" s="290"/>
      <c r="W60" s="290"/>
      <c r="X60" s="290"/>
      <c r="Y60" s="290"/>
      <c r="Z60" s="295"/>
      <c r="AB60" s="291"/>
      <c r="AC60" s="291"/>
      <c r="AD60" s="291"/>
      <c r="AE60" s="291"/>
      <c r="AF60" s="291"/>
      <c r="AG60" s="291"/>
      <c r="AH60" s="291"/>
      <c r="AI60" s="291"/>
      <c r="AJ60" s="291"/>
    </row>
    <row r="61" spans="2:36" s="54" customFormat="1" x14ac:dyDescent="0.25">
      <c r="B61" s="290"/>
      <c r="C61" s="290"/>
      <c r="D61" s="290"/>
      <c r="E61" s="290"/>
      <c r="F61" s="290"/>
      <c r="G61" s="290"/>
      <c r="H61" s="290"/>
      <c r="I61" s="290"/>
      <c r="J61" s="290"/>
      <c r="K61" s="290"/>
      <c r="L61" s="290"/>
      <c r="M61" s="290"/>
      <c r="N61" s="290"/>
      <c r="O61" s="290"/>
      <c r="P61" s="290"/>
      <c r="Q61" s="290"/>
      <c r="R61" s="290"/>
      <c r="S61" s="290"/>
      <c r="T61" s="290"/>
      <c r="U61" s="290"/>
      <c r="V61" s="290"/>
      <c r="W61" s="290"/>
      <c r="X61" s="290"/>
      <c r="Y61" s="290"/>
      <c r="Z61" s="295"/>
      <c r="AB61" s="291"/>
      <c r="AC61" s="291"/>
      <c r="AD61" s="291"/>
      <c r="AE61" s="291"/>
      <c r="AF61" s="291"/>
      <c r="AG61" s="291"/>
      <c r="AH61" s="291"/>
      <c r="AI61" s="291"/>
      <c r="AJ61" s="291"/>
    </row>
    <row r="62" spans="2:36" s="54" customFormat="1" x14ac:dyDescent="0.25">
      <c r="B62" s="290"/>
      <c r="C62" s="290"/>
      <c r="D62" s="290"/>
      <c r="E62" s="290"/>
      <c r="F62" s="290"/>
      <c r="G62" s="290"/>
      <c r="H62" s="290"/>
      <c r="I62" s="290"/>
      <c r="J62" s="290"/>
      <c r="K62" s="290"/>
      <c r="L62" s="290"/>
      <c r="M62" s="290"/>
      <c r="N62" s="290"/>
      <c r="O62" s="290"/>
      <c r="P62" s="290"/>
      <c r="Q62" s="290"/>
      <c r="R62" s="290"/>
      <c r="S62" s="290"/>
      <c r="T62" s="290"/>
      <c r="U62" s="290"/>
      <c r="V62" s="290"/>
      <c r="W62" s="290"/>
      <c r="X62" s="290"/>
      <c r="Y62" s="290"/>
      <c r="Z62" s="295"/>
      <c r="AB62" s="291"/>
      <c r="AC62" s="291"/>
      <c r="AD62" s="291"/>
      <c r="AE62" s="291"/>
      <c r="AF62" s="291"/>
      <c r="AG62" s="291"/>
      <c r="AH62" s="291"/>
      <c r="AI62" s="291"/>
      <c r="AJ62" s="291"/>
    </row>
    <row r="63" spans="2:36" s="54" customFormat="1" x14ac:dyDescent="0.25">
      <c r="B63" s="290"/>
      <c r="C63" s="290"/>
      <c r="D63" s="290"/>
      <c r="E63" s="290"/>
      <c r="F63" s="290"/>
      <c r="G63" s="290"/>
      <c r="H63" s="290"/>
      <c r="I63" s="290"/>
      <c r="J63" s="290"/>
      <c r="K63" s="290"/>
      <c r="L63" s="290"/>
      <c r="M63" s="290"/>
      <c r="N63" s="290"/>
      <c r="O63" s="290"/>
      <c r="P63" s="290"/>
      <c r="Q63" s="290"/>
      <c r="R63" s="290"/>
      <c r="S63" s="290"/>
      <c r="T63" s="290"/>
      <c r="U63" s="290"/>
      <c r="V63" s="290"/>
      <c r="W63" s="290"/>
      <c r="X63" s="290"/>
      <c r="Y63" s="290"/>
      <c r="Z63" s="295"/>
      <c r="AB63" s="291"/>
      <c r="AC63" s="291"/>
      <c r="AD63" s="291"/>
      <c r="AE63" s="291"/>
      <c r="AF63" s="291"/>
      <c r="AG63" s="291"/>
      <c r="AH63" s="291"/>
      <c r="AI63" s="291"/>
      <c r="AJ63" s="291"/>
    </row>
    <row r="64" spans="2:36" s="54" customFormat="1" x14ac:dyDescent="0.25">
      <c r="B64" s="290"/>
      <c r="C64" s="290"/>
      <c r="D64" s="290"/>
      <c r="E64" s="290"/>
      <c r="F64" s="290"/>
      <c r="G64" s="290"/>
      <c r="H64" s="290"/>
      <c r="I64" s="290"/>
      <c r="J64" s="290"/>
      <c r="K64" s="290"/>
      <c r="L64" s="290"/>
      <c r="M64" s="290"/>
      <c r="N64" s="290"/>
      <c r="O64" s="290"/>
      <c r="P64" s="290"/>
      <c r="Q64" s="290"/>
      <c r="R64" s="290"/>
      <c r="S64" s="290"/>
      <c r="T64" s="290"/>
      <c r="U64" s="290"/>
      <c r="V64" s="290"/>
      <c r="W64" s="290"/>
      <c r="X64" s="290"/>
      <c r="Y64" s="290"/>
      <c r="Z64" s="295"/>
      <c r="AB64" s="291"/>
      <c r="AC64" s="291"/>
      <c r="AD64" s="291"/>
      <c r="AE64" s="291"/>
      <c r="AF64" s="291"/>
      <c r="AG64" s="291"/>
      <c r="AH64" s="291"/>
      <c r="AI64" s="291"/>
      <c r="AJ64" s="291"/>
    </row>
    <row r="65" spans="2:36" s="54" customFormat="1" x14ac:dyDescent="0.25">
      <c r="B65" s="290"/>
      <c r="C65" s="290"/>
      <c r="D65" s="290"/>
      <c r="E65" s="290"/>
      <c r="F65" s="290"/>
      <c r="G65" s="290"/>
      <c r="H65" s="290"/>
      <c r="I65" s="290"/>
      <c r="J65" s="290"/>
      <c r="K65" s="290"/>
      <c r="L65" s="290"/>
      <c r="M65" s="290"/>
      <c r="N65" s="290"/>
      <c r="O65" s="290"/>
      <c r="P65" s="290"/>
      <c r="Q65" s="290"/>
      <c r="R65" s="290"/>
      <c r="S65" s="290"/>
      <c r="T65" s="290"/>
      <c r="U65" s="290"/>
      <c r="V65" s="290"/>
      <c r="W65" s="290"/>
      <c r="X65" s="290"/>
      <c r="Y65" s="290"/>
      <c r="Z65" s="295"/>
      <c r="AB65" s="291"/>
      <c r="AC65" s="291"/>
      <c r="AD65" s="291"/>
      <c r="AE65" s="291"/>
      <c r="AF65" s="291"/>
      <c r="AG65" s="291"/>
      <c r="AH65" s="291"/>
      <c r="AI65" s="291"/>
      <c r="AJ65" s="291"/>
    </row>
    <row r="66" spans="2:36" s="54" customFormat="1" x14ac:dyDescent="0.25">
      <c r="B66" s="290"/>
      <c r="C66" s="290"/>
      <c r="D66" s="290"/>
      <c r="E66" s="290"/>
      <c r="F66" s="290"/>
      <c r="G66" s="290"/>
      <c r="H66" s="290"/>
      <c r="I66" s="290"/>
      <c r="J66" s="290"/>
      <c r="K66" s="290"/>
      <c r="L66" s="290"/>
      <c r="M66" s="290"/>
      <c r="N66" s="290"/>
      <c r="O66" s="290"/>
      <c r="P66" s="290"/>
      <c r="Q66" s="290"/>
      <c r="R66" s="290"/>
      <c r="S66" s="290"/>
      <c r="T66" s="290"/>
      <c r="U66" s="290"/>
      <c r="V66" s="290"/>
      <c r="W66" s="290"/>
      <c r="X66" s="290"/>
      <c r="Y66" s="290"/>
      <c r="Z66" s="295"/>
      <c r="AB66" s="291"/>
      <c r="AC66" s="291"/>
      <c r="AD66" s="291"/>
      <c r="AE66" s="291"/>
      <c r="AF66" s="291"/>
      <c r="AG66" s="291"/>
      <c r="AH66" s="291"/>
      <c r="AI66" s="291"/>
      <c r="AJ66" s="291"/>
    </row>
    <row r="67" spans="2:36" s="54" customFormat="1" x14ac:dyDescent="0.25">
      <c r="B67" s="290"/>
      <c r="C67" s="290"/>
      <c r="D67" s="290"/>
      <c r="E67" s="290"/>
      <c r="F67" s="290"/>
      <c r="G67" s="290"/>
      <c r="H67" s="290"/>
      <c r="I67" s="290"/>
      <c r="J67" s="290"/>
      <c r="K67" s="290"/>
      <c r="L67" s="290"/>
      <c r="M67" s="290"/>
      <c r="N67" s="290"/>
      <c r="O67" s="290"/>
      <c r="P67" s="290"/>
      <c r="Q67" s="290"/>
      <c r="R67" s="290"/>
      <c r="S67" s="290"/>
      <c r="T67" s="290"/>
      <c r="U67" s="290"/>
      <c r="V67" s="290"/>
      <c r="W67" s="290"/>
      <c r="X67" s="290"/>
      <c r="Y67" s="290"/>
      <c r="Z67" s="295"/>
      <c r="AB67" s="291"/>
      <c r="AC67" s="291"/>
      <c r="AD67" s="291"/>
      <c r="AE67" s="291"/>
      <c r="AF67" s="291"/>
      <c r="AG67" s="291"/>
      <c r="AH67" s="291"/>
      <c r="AI67" s="291"/>
      <c r="AJ67" s="291"/>
    </row>
    <row r="68" spans="2:36" s="54" customFormat="1" x14ac:dyDescent="0.25">
      <c r="B68" s="290"/>
      <c r="C68" s="290"/>
      <c r="D68" s="290"/>
      <c r="E68" s="290"/>
      <c r="F68" s="290"/>
      <c r="G68" s="290"/>
      <c r="H68" s="290"/>
      <c r="I68" s="290"/>
      <c r="J68" s="290"/>
      <c r="K68" s="290"/>
      <c r="L68" s="290"/>
      <c r="M68" s="290"/>
      <c r="N68" s="290"/>
      <c r="O68" s="290"/>
      <c r="P68" s="290"/>
      <c r="Q68" s="290"/>
      <c r="R68" s="290"/>
      <c r="S68" s="290"/>
      <c r="T68" s="290"/>
      <c r="U68" s="290"/>
      <c r="V68" s="290"/>
      <c r="W68" s="290"/>
      <c r="X68" s="290"/>
      <c r="Y68" s="290"/>
      <c r="Z68" s="295"/>
      <c r="AB68" s="291"/>
      <c r="AC68" s="291"/>
      <c r="AD68" s="291"/>
      <c r="AE68" s="291"/>
      <c r="AF68" s="291"/>
      <c r="AG68" s="291"/>
      <c r="AH68" s="291"/>
      <c r="AI68" s="291"/>
      <c r="AJ68" s="291"/>
    </row>
    <row r="69" spans="2:36" s="54" customFormat="1" x14ac:dyDescent="0.25">
      <c r="Z69" s="295"/>
      <c r="AB69" s="291"/>
      <c r="AC69" s="291"/>
      <c r="AD69" s="291"/>
      <c r="AE69" s="291"/>
      <c r="AF69" s="291"/>
      <c r="AG69" s="291"/>
      <c r="AH69" s="291"/>
      <c r="AI69" s="291"/>
      <c r="AJ69" s="291"/>
    </row>
    <row r="70" spans="2:36" s="54" customFormat="1" x14ac:dyDescent="0.25">
      <c r="Z70" s="295"/>
      <c r="AB70" s="291"/>
      <c r="AC70" s="291"/>
      <c r="AD70" s="291"/>
      <c r="AE70" s="291"/>
      <c r="AF70" s="291"/>
      <c r="AG70" s="291"/>
      <c r="AH70" s="291"/>
      <c r="AI70" s="291"/>
      <c r="AJ70" s="291"/>
    </row>
    <row r="71" spans="2:36" s="54" customFormat="1" x14ac:dyDescent="0.25">
      <c r="Z71" s="295"/>
      <c r="AB71" s="291"/>
      <c r="AC71" s="291"/>
      <c r="AD71" s="291"/>
      <c r="AE71" s="291"/>
      <c r="AF71" s="291"/>
      <c r="AG71" s="291"/>
      <c r="AH71" s="291"/>
      <c r="AI71" s="291"/>
      <c r="AJ71" s="291"/>
    </row>
    <row r="72" spans="2:36" s="54" customFormat="1" x14ac:dyDescent="0.25">
      <c r="Z72" s="295"/>
      <c r="AB72" s="291"/>
      <c r="AC72" s="291"/>
      <c r="AD72" s="291"/>
      <c r="AE72" s="291"/>
      <c r="AF72" s="291"/>
      <c r="AG72" s="291"/>
      <c r="AH72" s="291"/>
      <c r="AI72" s="291"/>
      <c r="AJ72" s="291"/>
    </row>
    <row r="73" spans="2:36" s="54" customFormat="1" x14ac:dyDescent="0.25">
      <c r="Z73" s="295"/>
      <c r="AB73" s="291"/>
      <c r="AC73" s="291"/>
      <c r="AD73" s="291"/>
      <c r="AE73" s="291"/>
      <c r="AF73" s="291"/>
      <c r="AG73" s="291"/>
      <c r="AH73" s="291"/>
      <c r="AI73" s="291"/>
      <c r="AJ73" s="291"/>
    </row>
    <row r="74" spans="2:36" s="54" customFormat="1" x14ac:dyDescent="0.25">
      <c r="Z74" s="295"/>
      <c r="AB74" s="291"/>
      <c r="AC74" s="291"/>
      <c r="AD74" s="291"/>
      <c r="AE74" s="291"/>
      <c r="AF74" s="291"/>
      <c r="AG74" s="291"/>
      <c r="AH74" s="291"/>
      <c r="AI74" s="291"/>
      <c r="AJ74" s="291"/>
    </row>
  </sheetData>
  <mergeCells count="31">
    <mergeCell ref="I22:L22"/>
    <mergeCell ref="B1:Y6"/>
    <mergeCell ref="B13:F13"/>
    <mergeCell ref="G13:Y13"/>
    <mergeCell ref="B14:F14"/>
    <mergeCell ref="G14:Y14"/>
    <mergeCell ref="B15:F15"/>
    <mergeCell ref="G15:Y15"/>
    <mergeCell ref="B16:F16"/>
    <mergeCell ref="G16:I16"/>
    <mergeCell ref="E20:H21"/>
    <mergeCell ref="I20:L21"/>
    <mergeCell ref="P20:V20"/>
    <mergeCell ref="D11:S11"/>
    <mergeCell ref="B34:Y34"/>
    <mergeCell ref="I23:L23"/>
    <mergeCell ref="I24:L24"/>
    <mergeCell ref="I25:L25"/>
    <mergeCell ref="I26:L26"/>
    <mergeCell ref="I27:L27"/>
    <mergeCell ref="I28:L28"/>
    <mergeCell ref="I29:L29"/>
    <mergeCell ref="I30:L30"/>
    <mergeCell ref="I31:L31"/>
    <mergeCell ref="P31:V31"/>
    <mergeCell ref="P33:V33"/>
    <mergeCell ref="B35:Y35"/>
    <mergeCell ref="B36:Y36"/>
    <mergeCell ref="B37:Y37"/>
    <mergeCell ref="B46:Y46"/>
    <mergeCell ref="B47:Y49"/>
  </mergeCells>
  <conditionalFormatting sqref="G14:Y15">
    <cfRule type="cellIs" dxfId="5" priority="2" stopIfTrue="1" operator="equal">
      <formula>0</formula>
    </cfRule>
  </conditionalFormatting>
  <conditionalFormatting sqref="I22:I28">
    <cfRule type="cellIs" dxfId="4" priority="1" stopIfTrue="1" operator="equal">
      <formula>0</formula>
    </cfRule>
  </conditionalFormatting>
  <printOptions horizontalCentered="1"/>
  <pageMargins left="0.51181102362204722" right="0.51181102362204722" top="0.78740157480314965" bottom="0.78740157480314965" header="0.31496062992125984" footer="0.31496062992125984"/>
  <pageSetup paperSize="9" scale="57" orientation="portrait" horizontalDpi="1200" verticalDpi="1200" r:id="rId1"/>
  <headerFooter>
    <oddFooter>&amp;L&amp;"Arial Narrow,Normal"&amp;10&amp;A
&amp;F&amp;R&amp;"Arial Narrow,Normal"&amp;10Página &amp;P de &amp;N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AE2156E2C64EAC4288D1C4C998CE28F9" ma:contentTypeVersion="0" ma:contentTypeDescription="Crie um novo documento." ma:contentTypeScope="" ma:versionID="2b6865b6910ca1b9a9fc223af4f1e869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6e078010f886becc52d8153076464ff7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6FAE452-36B1-4419-AF9A-915F7049E0E6}">
  <ds:schemaRefs>
    <ds:schemaRef ds:uri="http://purl.org/dc/elements/1.1/"/>
    <ds:schemaRef ds:uri="http://schemas.microsoft.com/office/2006/metadata/properties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091A0806-27C7-48D2-874B-E1231DFD033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3805243C-103E-46E3-8531-12C0F395653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14</vt:i4>
      </vt:variant>
      <vt:variant>
        <vt:lpstr>Intervalos nomeados</vt:lpstr>
      </vt:variant>
      <vt:variant>
        <vt:i4>20</vt:i4>
      </vt:variant>
    </vt:vector>
  </HeadingPairs>
  <TitlesOfParts>
    <vt:vector size="34" baseType="lpstr">
      <vt:lpstr>DADOS DA OBRA</vt:lpstr>
      <vt:lpstr>RESUMO</vt:lpstr>
      <vt:lpstr>ORÇ. SINTÉTICO ONERADO</vt:lpstr>
      <vt:lpstr>ORÇ. ANÁLITICO ONERADO</vt:lpstr>
      <vt:lpstr>CRONOGRAMA GERAL</vt:lpstr>
      <vt:lpstr>CURVA ABC - SERVIÇOS</vt:lpstr>
      <vt:lpstr>Planilha1</vt:lpstr>
      <vt:lpstr>BDI OBRA - ONERADO</vt:lpstr>
      <vt:lpstr>BDI DIFERENCIADO - ONERADO</vt:lpstr>
      <vt:lpstr>ENCARGOS SOCIAIS</vt:lpstr>
      <vt:lpstr>ORÇ. SINTÉTICO DESONERADO</vt:lpstr>
      <vt:lpstr>BDI OBRA - DESONERADO</vt:lpstr>
      <vt:lpstr>BDI DIFERENCIADO - DESONERADO</vt:lpstr>
      <vt:lpstr>RESUMO LEVTO</vt:lpstr>
      <vt:lpstr>'BDI DIFERENCIADO - DESONERADO'!Area_de_impressao</vt:lpstr>
      <vt:lpstr>'BDI DIFERENCIADO - ONERADO'!Area_de_impressao</vt:lpstr>
      <vt:lpstr>'BDI OBRA - DESONERADO'!Area_de_impressao</vt:lpstr>
      <vt:lpstr>'BDI OBRA - ONERADO'!Area_de_impressao</vt:lpstr>
      <vt:lpstr>'CRONOGRAMA GERAL'!Area_de_impressao</vt:lpstr>
      <vt:lpstr>'CURVA ABC - SERVIÇOS'!Area_de_impressao</vt:lpstr>
      <vt:lpstr>'DADOS DA OBRA'!Area_de_impressao</vt:lpstr>
      <vt:lpstr>'ENCARGOS SOCIAIS'!Area_de_impressao</vt:lpstr>
      <vt:lpstr>'ORÇ. ANÁLITICO ONERADO'!Area_de_impressao</vt:lpstr>
      <vt:lpstr>'ORÇ. SINTÉTICO DESONERADO'!Area_de_impressao</vt:lpstr>
      <vt:lpstr>'ORÇ. SINTÉTICO ONERADO'!Area_de_impressao</vt:lpstr>
      <vt:lpstr>RESUMO!Area_de_impressao</vt:lpstr>
      <vt:lpstr>'RESUMO LEVTO'!Area_de_impressao</vt:lpstr>
      <vt:lpstr>'CRONOGRAMA GERAL'!Titulos_de_impressao</vt:lpstr>
      <vt:lpstr>'CURVA ABC - SERVIÇOS'!Titulos_de_impressao</vt:lpstr>
      <vt:lpstr>'ORÇ. ANÁLITICO ONERADO'!Titulos_de_impressao</vt:lpstr>
      <vt:lpstr>'ORÇ. SINTÉTICO DESONERADO'!Titulos_de_impressao</vt:lpstr>
      <vt:lpstr>'ORÇ. SINTÉTICO ONERADO'!Titulos_de_impressao</vt:lpstr>
      <vt:lpstr>RESUMO!Titulos_de_impressao</vt:lpstr>
      <vt:lpstr>'RESUMO LEVTO'!Titulos_de_impressao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Thiago Alves Silva</dc:creator>
  <cp:lastModifiedBy>Edilson Francisco Rodrigues</cp:lastModifiedBy>
  <cp:lastPrinted>2022-09-23T01:34:11Z</cp:lastPrinted>
  <dcterms:created xsi:type="dcterms:W3CDTF">2012-03-26T12:45:23Z</dcterms:created>
  <dcterms:modified xsi:type="dcterms:W3CDTF">2022-11-08T12:54:27Z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0x010100AE2156E2C64EAC4288D1C4C998CE28F9</vt:lpwstr>
  </property>
</Properties>
</file>