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V:\DiretoriaComercial\Vendas\Cliente Público\Propostas\2024\3) Março\INOVA\14.03.2024 - PE 90008-24 TRE-PI -Apoio Eleição\Documentos para envio\Diligência 01\"/>
    </mc:Choice>
  </mc:AlternateContent>
  <xr:revisionPtr revIDLastSave="0" documentId="8_{5CAA383A-4BD9-4074-8819-26AAB6F64C1D}" xr6:coauthVersionLast="47" xr6:coauthVersionMax="47" xr10:uidLastSave="{00000000-0000-0000-0000-000000000000}"/>
  <bookViews>
    <workbookView xWindow="-120" yWindow="-120" windowWidth="20730" windowHeight="11160" tabRatio="892" xr2:uid="{00000000-000D-0000-FFFF-FFFF00000000}"/>
  </bookViews>
  <sheets>
    <sheet name="Custos e preços" sheetId="16" r:id="rId1"/>
    <sheet name="Encargos Sociais" sheetId="2" r:id="rId2"/>
    <sheet name="Uniformes" sheetId="3" r:id="rId3"/>
    <sheet name="Kit Ferramentas" sheetId="11" r:id="rId4"/>
    <sheet name="Custos Exames e Laudo" sheetId="26" r:id="rId5"/>
    <sheet name="Conta vinculada" sheetId="22" r:id="rId6"/>
    <sheet name="Pesquisas" sheetId="17" r:id="rId7"/>
  </sheets>
  <externalReferences>
    <externalReference r:id="rId8"/>
  </externalReferences>
  <definedNames>
    <definedName name="_xlnm.Print_Area" localSheetId="3">'Kit Ferramentas'!$A$1:$E$14</definedName>
    <definedName name="CPRB">'[1]Encargos Sociais'!$C$6:$D$6</definedName>
    <definedName name="SHARED_FORMULA_11_11_11_11_5">SUM(#REF!)</definedName>
    <definedName name="SHARED_FORMULA_11_3_11_3_5">SUM(#REF!)</definedName>
    <definedName name="SHARED_FORMULA_12_12_12_12_0">SUM(#REF!)</definedName>
    <definedName name="SHARED_FORMULA_12_3_12_3_11">SUM(#REF!)</definedName>
    <definedName name="SHARED_FORMULA_12_3_12_3_6">SUM(#REF!)</definedName>
    <definedName name="SHARED_FORMULA_12_3_12_3_7">SUM(#REF!)</definedName>
    <definedName name="SHARED_FORMULA_12_3_12_3_8">SUM(#REF!)</definedName>
    <definedName name="SHARED_FORMULA_12_3_12_3_9">SUM(#REF!)</definedName>
    <definedName name="SHARED_FORMULA_12_4_12_4_10">SUM(#REF!)</definedName>
    <definedName name="SHARED_FORMULA_13_11_13_11_5">#REF!*#REF!</definedName>
    <definedName name="SHARED_FORMULA_13_12_13_12_0">#REF!+#REF!</definedName>
    <definedName name="SHARED_FORMULA_13_3_13_3_5">#REF!*#REF!</definedName>
    <definedName name="SHARED_FORMULA_14_12_14_12_0">#REF!*#REF!</definedName>
    <definedName name="SHARED_FORMULA_15_12_15_12_0">(#REF!+#REF!)*#REF!</definedName>
    <definedName name="SHARED_FORMULA_16_12_16_12_0">((#REF!+#REF!+#REF!)*#REF!/(1-(#REF!+#REF!+#REF!)))</definedName>
    <definedName name="SHARED_FORMULA_17_12_17_12_0">((#REF!+#REF!+#REF!)*#REF!/(1-(#REF!+#REF!+#REF!)))</definedName>
    <definedName name="SHARED_FORMULA_18_12_18_12_0">((#REF!+#REF!+#REF!)*#REF!/(1-(#REF!+#REF!+#REF!)))</definedName>
    <definedName name="SHARED_FORMULA_19_12_19_12_0">SUM(#REF!)</definedName>
    <definedName name="SHARED_FORMULA_20_12_20_12_0">SUM(#REF!+#REF!+#REF!)</definedName>
    <definedName name="SHARED_FORMULA_22_12_22_12_0">#REF!</definedName>
    <definedName name="SHARED_FORMULA_23_12_23_12_0">#REF!*#REF!</definedName>
    <definedName name="SHARED_FORMULA_24_12_24_12_0">#REF!*#REF!</definedName>
    <definedName name="SHARED_FORMULA_3_28_3_28_2">#REF!*#REF!</definedName>
    <definedName name="SHARED_FORMULA_3_4_3_4_2">#REF!*#REF!</definedName>
    <definedName name="SHARED_FORMULA_3_40_3_40_2">#REF!*#REF!</definedName>
    <definedName name="SHARED_FORMULA_4_12_4_12_0">SUM(#REF!)</definedName>
    <definedName name="SHARED_FORMULA_4_28_4_28_2">#REF!/12</definedName>
    <definedName name="SHARED_FORMULA_4_38_4_38_3">#REF!/600+#REF!/1200+#REF!/220</definedName>
    <definedName name="SHARED_FORMULA_4_4_4_4_2">#REF!/60</definedName>
    <definedName name="SHARED_FORMULA_4_4_4_4_3">#REF!/600+#REF!/1200+#REF!/220</definedName>
    <definedName name="SHARED_FORMULA_4_40_4_40_2">#REF!/12</definedName>
    <definedName name="SHARED_FORMULA_5_36_5_36_3">IF(#REF!&gt;1,ROUND(#REF!,3),1)</definedName>
    <definedName name="SHARED_FORMULA_5_4_5_4_3">IF(#REF!&gt;1,ROUND(#REF!,3),1)</definedName>
    <definedName name="SHARED_FORMULA_5_68_5_68_3">IF(#REF!&gt;1,ROUND(#REF!,3),1)</definedName>
    <definedName name="SHARED_FORMULA_6_36_6_36_3">IF(#REF!&gt;0.625,"8",IF(#REF!&gt;0.375,"5",IF(#REF!&lt;=0.375,"3")))</definedName>
    <definedName name="SHARED_FORMULA_6_4_6_4_3">IF(#REF!&gt;0.625,"8",IF(#REF!&gt;0.375,"5",IF(#REF!&lt;=0.375,"3")))</definedName>
    <definedName name="SHARED_FORMULA_6_66_6_66_3">IF(#REF!&gt;0.625,"8",IF(#REF!&gt;0.375,"5",IF(#REF!&lt;=0.375,"3")))</definedName>
  </definedNames>
  <calcPr calcId="191029" fullPrecision="0"/>
</workbook>
</file>

<file path=xl/calcChain.xml><?xml version="1.0" encoding="utf-8"?>
<calcChain xmlns="http://schemas.openxmlformats.org/spreadsheetml/2006/main">
  <c r="D7" i="11" l="1"/>
  <c r="D6" i="11"/>
  <c r="D5" i="11"/>
  <c r="E6" i="3"/>
  <c r="E5" i="3"/>
  <c r="D14" i="22" l="1"/>
  <c r="D13" i="22"/>
  <c r="D12" i="22"/>
  <c r="D10" i="22"/>
  <c r="F10" i="22" s="1"/>
  <c r="D9" i="22"/>
  <c r="I9" i="22" s="1"/>
  <c r="D11" i="22"/>
  <c r="G11" i="22" s="1"/>
  <c r="D66" i="16"/>
  <c r="D65" i="16"/>
  <c r="D15" i="2"/>
  <c r="D7" i="2" s="1"/>
  <c r="J25" i="17"/>
  <c r="H25" i="17"/>
  <c r="I25" i="17" s="1"/>
  <c r="K25" i="17" s="1"/>
  <c r="G25" i="17"/>
  <c r="G22" i="17"/>
  <c r="J22" i="17"/>
  <c r="H22" i="17"/>
  <c r="I22" i="17" s="1"/>
  <c r="J19" i="17"/>
  <c r="H19" i="17"/>
  <c r="G19" i="17"/>
  <c r="I19" i="17" s="1"/>
  <c r="J9" i="17"/>
  <c r="H9" i="17"/>
  <c r="G9" i="17"/>
  <c r="J6" i="17"/>
  <c r="H6" i="17"/>
  <c r="I6" i="17" s="1"/>
  <c r="K6" i="17" s="1"/>
  <c r="F5" i="3" s="1"/>
  <c r="G6" i="17"/>
  <c r="F16" i="22"/>
  <c r="G16" i="22"/>
  <c r="H16" i="22"/>
  <c r="I16" i="22"/>
  <c r="E16" i="22"/>
  <c r="D8" i="22"/>
  <c r="F7" i="22"/>
  <c r="G7" i="22"/>
  <c r="H7" i="22"/>
  <c r="I7" i="22"/>
  <c r="E7" i="22"/>
  <c r="I6" i="22"/>
  <c r="E6" i="22"/>
  <c r="J13" i="26"/>
  <c r="H13" i="26"/>
  <c r="J12" i="26"/>
  <c r="H12" i="26"/>
  <c r="D68" i="16"/>
  <c r="D31" i="2"/>
  <c r="C31" i="2"/>
  <c r="C29" i="2"/>
  <c r="D26" i="2"/>
  <c r="C26" i="2"/>
  <c r="D16" i="2"/>
  <c r="C16" i="2"/>
  <c r="C7" i="2"/>
  <c r="A6" i="17"/>
  <c r="A9" i="17"/>
  <c r="A19" i="17"/>
  <c r="A22" i="17"/>
  <c r="A25" i="17"/>
  <c r="C5" i="11"/>
  <c r="C6" i="11"/>
  <c r="C7" i="11"/>
  <c r="E7" i="11" s="1"/>
  <c r="D9" i="16"/>
  <c r="D10" i="16"/>
  <c r="D11" i="16"/>
  <c r="D16" i="16"/>
  <c r="D17" i="16"/>
  <c r="E25" i="16"/>
  <c r="E30" i="16"/>
  <c r="E32" i="16" s="1"/>
  <c r="F25" i="16"/>
  <c r="F107" i="16" s="1"/>
  <c r="F113" i="16" s="1"/>
  <c r="G25" i="16"/>
  <c r="G106" i="16" s="1"/>
  <c r="H25" i="16"/>
  <c r="H107" i="16" s="1"/>
  <c r="I25" i="16"/>
  <c r="I107" i="16" s="1"/>
  <c r="E29" i="16"/>
  <c r="F29" i="16"/>
  <c r="G29" i="16"/>
  <c r="H29" i="16"/>
  <c r="I29" i="16"/>
  <c r="I30" i="16"/>
  <c r="I32" i="16" s="1"/>
  <c r="E31" i="16"/>
  <c r="F31" i="16"/>
  <c r="G31" i="16"/>
  <c r="H31" i="16"/>
  <c r="H32" i="16" s="1"/>
  <c r="I31" i="16"/>
  <c r="D63" i="16"/>
  <c r="G63" i="16" s="1"/>
  <c r="D64" i="16"/>
  <c r="D67" i="16"/>
  <c r="C115" i="16"/>
  <c r="C124" i="16"/>
  <c r="H106" i="16"/>
  <c r="H121" i="16" s="1"/>
  <c r="I63" i="16"/>
  <c r="G32" i="16"/>
  <c r="H63" i="16"/>
  <c r="E8" i="22"/>
  <c r="F30" i="16"/>
  <c r="E106" i="16"/>
  <c r="E107" i="16"/>
  <c r="E122" i="16" s="1"/>
  <c r="E113" i="16"/>
  <c r="E112" i="16"/>
  <c r="E121" i="16"/>
  <c r="K12" i="26" l="1"/>
  <c r="E10" i="22"/>
  <c r="G9" i="22"/>
  <c r="E11" i="22"/>
  <c r="C34" i="2"/>
  <c r="C33" i="2"/>
  <c r="D26" i="16" s="1"/>
  <c r="E26" i="16" s="1"/>
  <c r="E27" i="16" s="1"/>
  <c r="H9" i="22"/>
  <c r="H13" i="22" s="1"/>
  <c r="I13" i="22"/>
  <c r="I10" i="22"/>
  <c r="E9" i="22"/>
  <c r="E13" i="22" s="1"/>
  <c r="F106" i="16"/>
  <c r="F112" i="16" s="1"/>
  <c r="I64" i="16"/>
  <c r="I69" i="16" s="1"/>
  <c r="I65" i="16" s="1"/>
  <c r="E63" i="16"/>
  <c r="K13" i="26"/>
  <c r="G8" i="22"/>
  <c r="I9" i="17"/>
  <c r="K9" i="17" s="1"/>
  <c r="F6" i="3" s="1"/>
  <c r="F7" i="3" s="1"/>
  <c r="F32" i="16"/>
  <c r="G13" i="22"/>
  <c r="K19" i="17"/>
  <c r="E5" i="11" s="1"/>
  <c r="K22" i="17"/>
  <c r="E6" i="11" s="1"/>
  <c r="G121" i="16"/>
  <c r="G112" i="16"/>
  <c r="D34" i="2"/>
  <c r="D30" i="2"/>
  <c r="D29" i="2" s="1"/>
  <c r="D33" i="2" s="1"/>
  <c r="I122" i="16"/>
  <c r="I113" i="16"/>
  <c r="E34" i="16"/>
  <c r="G69" i="16"/>
  <c r="H122" i="16"/>
  <c r="H113" i="16"/>
  <c r="H64" i="16"/>
  <c r="H69" i="16" s="1"/>
  <c r="F12" i="22"/>
  <c r="G64" i="16"/>
  <c r="F9" i="22"/>
  <c r="F13" i="22" s="1"/>
  <c r="I11" i="22"/>
  <c r="E14" i="22"/>
  <c r="F63" i="16"/>
  <c r="H10" i="22"/>
  <c r="E12" i="22"/>
  <c r="F11" i="22"/>
  <c r="G10" i="22"/>
  <c r="F8" i="22"/>
  <c r="H112" i="16"/>
  <c r="H11" i="22"/>
  <c r="G107" i="16"/>
  <c r="H8" i="22"/>
  <c r="F122" i="16"/>
  <c r="I8" i="22"/>
  <c r="I106" i="16"/>
  <c r="J4" i="26" l="1"/>
  <c r="I26" i="16"/>
  <c r="I27" i="16" s="1"/>
  <c r="I14" i="22"/>
  <c r="I66" i="16"/>
  <c r="I68" i="16"/>
  <c r="I73" i="16"/>
  <c r="I74" i="16" s="1"/>
  <c r="I76" i="16" s="1"/>
  <c r="F26" i="16"/>
  <c r="F27" i="16" s="1"/>
  <c r="F14" i="22"/>
  <c r="G26" i="16"/>
  <c r="G27" i="16" s="1"/>
  <c r="G34" i="16" s="1"/>
  <c r="G14" i="22"/>
  <c r="H14" i="22"/>
  <c r="H26" i="16"/>
  <c r="H27" i="16" s="1"/>
  <c r="G12" i="22"/>
  <c r="E8" i="11"/>
  <c r="F131" i="16" s="1"/>
  <c r="E15" i="22"/>
  <c r="E17" i="22" s="1"/>
  <c r="F121" i="16"/>
  <c r="I67" i="16"/>
  <c r="E64" i="16"/>
  <c r="E69" i="16" s="1"/>
  <c r="G65" i="16"/>
  <c r="G67" i="16"/>
  <c r="G75" i="16"/>
  <c r="G76" i="16"/>
  <c r="G66" i="16"/>
  <c r="G68" i="16"/>
  <c r="E97" i="16"/>
  <c r="I97" i="16"/>
  <c r="F97" i="16"/>
  <c r="G97" i="16"/>
  <c r="H97" i="16"/>
  <c r="G113" i="16"/>
  <c r="G122" i="16"/>
  <c r="F34" i="16"/>
  <c r="H34" i="16"/>
  <c r="I12" i="22"/>
  <c r="I15" i="22" s="1"/>
  <c r="I17" i="22" s="1"/>
  <c r="E36" i="16"/>
  <c r="F64" i="16"/>
  <c r="F69" i="16" s="1"/>
  <c r="F15" i="22"/>
  <c r="F17" i="22" s="1"/>
  <c r="H65" i="16"/>
  <c r="H75" i="16"/>
  <c r="H66" i="16"/>
  <c r="H68" i="16"/>
  <c r="H67" i="16"/>
  <c r="H76" i="16"/>
  <c r="I121" i="16"/>
  <c r="I112" i="16"/>
  <c r="I34" i="16"/>
  <c r="H12" i="22"/>
  <c r="H15" i="22" s="1"/>
  <c r="H17" i="22" s="1"/>
  <c r="I75" i="16" l="1"/>
  <c r="I12" i="16"/>
  <c r="G15" i="22"/>
  <c r="G17" i="22" s="1"/>
  <c r="E18" i="22" s="1"/>
  <c r="C18" i="16" s="1"/>
  <c r="E37" i="16"/>
  <c r="E40" i="16" s="1"/>
  <c r="E68" i="16"/>
  <c r="E66" i="16"/>
  <c r="E65" i="16"/>
  <c r="E73" i="16"/>
  <c r="E67" i="16"/>
  <c r="G36" i="16"/>
  <c r="H36" i="16"/>
  <c r="H37" i="16" s="1"/>
  <c r="H38" i="16" s="1"/>
  <c r="E39" i="16"/>
  <c r="F73" i="16"/>
  <c r="F67" i="16"/>
  <c r="F68" i="16"/>
  <c r="F65" i="16"/>
  <c r="F66" i="16"/>
  <c r="F36" i="16"/>
  <c r="I36" i="16"/>
  <c r="I37" i="16"/>
  <c r="I40" i="16" s="1"/>
  <c r="E41" i="16" l="1"/>
  <c r="E38" i="16"/>
  <c r="E74" i="16"/>
  <c r="E76" i="16" s="1"/>
  <c r="E75" i="16"/>
  <c r="F37" i="16"/>
  <c r="F40" i="16" s="1"/>
  <c r="H41" i="16"/>
  <c r="H39" i="16"/>
  <c r="F75" i="16"/>
  <c r="F74" i="16"/>
  <c r="F76" i="16" s="1"/>
  <c r="I39" i="16"/>
  <c r="H40" i="16"/>
  <c r="G37" i="16"/>
  <c r="G41" i="16" s="1"/>
  <c r="F39" i="16"/>
  <c r="I41" i="16"/>
  <c r="I38" i="16"/>
  <c r="E42" i="16" l="1"/>
  <c r="E45" i="16" s="1"/>
  <c r="E46" i="16" s="1"/>
  <c r="F41" i="16"/>
  <c r="H42" i="16"/>
  <c r="H45" i="16" s="1"/>
  <c r="H46" i="16" s="1"/>
  <c r="H52" i="16" s="1"/>
  <c r="I42" i="16"/>
  <c r="I45" i="16" s="1"/>
  <c r="I46" i="16" s="1"/>
  <c r="I52" i="16" s="1"/>
  <c r="G39" i="16"/>
  <c r="G38" i="16"/>
  <c r="E48" i="16"/>
  <c r="E52" i="16"/>
  <c r="G40" i="16"/>
  <c r="F38" i="16"/>
  <c r="F42" i="16" s="1"/>
  <c r="H48" i="16" l="1"/>
  <c r="G42" i="16"/>
  <c r="G45" i="16" s="1"/>
  <c r="G46" i="16" s="1"/>
  <c r="G48" i="16" s="1"/>
  <c r="I48" i="16"/>
  <c r="F45" i="16"/>
  <c r="F46" i="16" s="1"/>
  <c r="G52" i="16" l="1"/>
  <c r="D42" i="16"/>
  <c r="F87" i="16" s="1"/>
  <c r="F52" i="16"/>
  <c r="F48" i="16"/>
  <c r="E49" i="16" s="1"/>
  <c r="E53" i="16" l="1"/>
  <c r="I11" i="16" s="1"/>
  <c r="H87" i="16"/>
  <c r="I131" i="16"/>
  <c r="I18" i="16" s="1"/>
  <c r="G108" i="16"/>
  <c r="G114" i="16" s="1"/>
  <c r="H98" i="16"/>
  <c r="F108" i="16"/>
  <c r="F114" i="16" s="1"/>
  <c r="I109" i="16"/>
  <c r="I115" i="16" s="1"/>
  <c r="I87" i="16"/>
  <c r="G98" i="16"/>
  <c r="F109" i="16"/>
  <c r="F115" i="16" s="1"/>
  <c r="G109" i="16"/>
  <c r="G124" i="16" s="1"/>
  <c r="G87" i="16"/>
  <c r="E98" i="16"/>
  <c r="H108" i="16"/>
  <c r="H123" i="16" s="1"/>
  <c r="E109" i="16"/>
  <c r="E115" i="16" s="1"/>
  <c r="E87" i="16"/>
  <c r="I98" i="16"/>
  <c r="F98" i="16"/>
  <c r="H109" i="16"/>
  <c r="H124" i="16" s="1"/>
  <c r="I108" i="16"/>
  <c r="I114" i="16" s="1"/>
  <c r="E108" i="16"/>
  <c r="E114" i="16" s="1"/>
  <c r="F123" i="16"/>
  <c r="G115" i="16"/>
  <c r="I10" i="16"/>
  <c r="E19" i="22"/>
  <c r="I124" i="16" l="1"/>
  <c r="E88" i="16"/>
  <c r="I14" i="16" s="1"/>
  <c r="G116" i="16"/>
  <c r="G117" i="16" s="1"/>
  <c r="E123" i="16"/>
  <c r="I123" i="16"/>
  <c r="I125" i="16" s="1"/>
  <c r="I126" i="16" s="1"/>
  <c r="G123" i="16"/>
  <c r="G125" i="16" s="1"/>
  <c r="E99" i="16"/>
  <c r="I15" i="16" s="1"/>
  <c r="E124" i="16"/>
  <c r="E125" i="16" s="1"/>
  <c r="E126" i="16" s="1"/>
  <c r="H115" i="16"/>
  <c r="F124" i="16"/>
  <c r="F125" i="16" s="1"/>
  <c r="F126" i="16" s="1"/>
  <c r="H114" i="16"/>
  <c r="E116" i="16"/>
  <c r="E117" i="16" s="1"/>
  <c r="I116" i="16"/>
  <c r="I117" i="16" s="1"/>
  <c r="F116" i="16"/>
  <c r="F117" i="16" s="1"/>
  <c r="H125" i="16"/>
  <c r="H126" i="16" s="1"/>
  <c r="H116" i="16" l="1"/>
  <c r="H117" i="16" s="1"/>
  <c r="E118" i="16" s="1"/>
  <c r="I16" i="16" s="1"/>
  <c r="E127" i="16"/>
  <c r="I17" i="16" s="1"/>
  <c r="I9" i="16" l="1"/>
</calcChain>
</file>

<file path=xl/sharedStrings.xml><?xml version="1.0" encoding="utf-8"?>
<sst xmlns="http://schemas.openxmlformats.org/spreadsheetml/2006/main" count="396" uniqueCount="291">
  <si>
    <t>AUXÍLIO TRANSPORTE: Valor encontrado com base em 26 dias úteis, descontado 6% do salário do empregado da empresa.</t>
  </si>
  <si>
    <t>VALOR MÍNIMO DO SALÁRIO: Calculado com base no salário da categoria regulado pela CCT - Asseio e Conservação vigente.</t>
  </si>
  <si>
    <t>FERRAMENTAL</t>
  </si>
  <si>
    <t>Camisa gola polo, manga curta, azul clara, composição: poliéster</t>
  </si>
  <si>
    <t>Chave de fenda 3/16"x 3", composto relevante: cromo vanádio</t>
  </si>
  <si>
    <t>Chave Phillips 3/16"x 3", composto relevante: cromo vanádio</t>
  </si>
  <si>
    <t>Chave de fenda para teste (100 a 250V) 1/8" x 3" composto relevante: aço temperado</t>
  </si>
  <si>
    <t>Véspera das Eleições</t>
  </si>
  <si>
    <t>Dia das Eleições</t>
  </si>
  <si>
    <t>QTD. POR TIPO DE POSTO 1º TURNO</t>
  </si>
  <si>
    <t>QTD. POR TIPO DE POSTO 2º TURNO</t>
  </si>
  <si>
    <t>PARA CONTRATAÇÃO - EM 2º TURNO - R$</t>
  </si>
  <si>
    <t>PARA CONTRATAÇÃO - EM 1º TURNO - R$</t>
  </si>
  <si>
    <t>AUXILIAR DE APOIO ESPECIALIZADO</t>
  </si>
  <si>
    <t xml:space="preserve">AUSÊNCIA POR ACIDENTE DO TRABALHO </t>
  </si>
  <si>
    <t>FÉRIAS SOBRE LICENÇA MATERNIDADE</t>
  </si>
  <si>
    <t>INCIDENCIA DO GRUPO A SOBRE O FGTS</t>
  </si>
  <si>
    <t>Custos com treinamento, ferramentas e EPI - R$:</t>
  </si>
  <si>
    <t>Salário Auxiliar de Apoio às Eleições - MÊS/DIA</t>
  </si>
  <si>
    <t>Salário Gerente Administrativo MÊS/DIA:</t>
  </si>
  <si>
    <t>Quantidade de postos</t>
  </si>
  <si>
    <t>1º Turno</t>
  </si>
  <si>
    <t>2º Turno</t>
  </si>
  <si>
    <t>CUSTO</t>
  </si>
  <si>
    <t>UNITÁRIO POR TIPO DE POSTO 30 DIAS - R$</t>
  </si>
  <si>
    <t>UNITÁRIO POR TIPO DE POSTO 1 DIA - R$</t>
  </si>
  <si>
    <t>Tempo de prestação de serviços para o 1º Turno em dias</t>
  </si>
  <si>
    <t>Tempo de prestação de serviços para o 2º Turno em dias</t>
  </si>
  <si>
    <t>Custo com diárias 1º turno - R$:</t>
  </si>
  <si>
    <t>Custo com o plano de saúde - R$:</t>
  </si>
  <si>
    <t>CUSTOS ESTIMADO COM PLANO DE SAÚDE</t>
  </si>
  <si>
    <t>CUSTOS COM FORNECIMENTO DE UNIFORME</t>
  </si>
  <si>
    <t>TOTAL LDI</t>
  </si>
  <si>
    <t>MONTANTE A</t>
  </si>
  <si>
    <t>MONTANTE B</t>
  </si>
  <si>
    <t>TAXA DE LUCRO</t>
  </si>
  <si>
    <t>TRIBUTOS</t>
  </si>
  <si>
    <t>PIS</t>
  </si>
  <si>
    <t>COFINS</t>
  </si>
  <si>
    <t>ISS</t>
  </si>
  <si>
    <t>-</t>
  </si>
  <si>
    <t>Gerente Administrativo</t>
  </si>
  <si>
    <t>ENCARGOS SOCIAIS DE SERVIÇOS TERCEIRIZADOS</t>
  </si>
  <si>
    <t>Enquadramento do contrato de trabalho</t>
  </si>
  <si>
    <t>CLT</t>
  </si>
  <si>
    <t>Regime de tributação</t>
  </si>
  <si>
    <t>Lucro real ou presumido</t>
  </si>
  <si>
    <t>Item</t>
  </si>
  <si>
    <t>Título</t>
  </si>
  <si>
    <t>Percentual máximo admitido</t>
  </si>
  <si>
    <t>Grupo A</t>
  </si>
  <si>
    <t>SESI / SESC</t>
  </si>
  <si>
    <t>SENAI / SENAC</t>
  </si>
  <si>
    <t xml:space="preserve">INCRA </t>
  </si>
  <si>
    <t>SALÁRIO EDUCAÇÃO</t>
  </si>
  <si>
    <t xml:space="preserve">F G T S </t>
  </si>
  <si>
    <t xml:space="preserve">SEBRAE </t>
  </si>
  <si>
    <t>Grupo B</t>
  </si>
  <si>
    <t>ABONO DE FÉRIAS</t>
  </si>
  <si>
    <t>AUXÍLIO DOENÇA</t>
  </si>
  <si>
    <t>LICENÇA PATERNIDADE</t>
  </si>
  <si>
    <t xml:space="preserve">FALTAS LEGAIS </t>
  </si>
  <si>
    <t>Grupo C</t>
  </si>
  <si>
    <t>AVISO PRÉVIO INDENIZADO</t>
  </si>
  <si>
    <t xml:space="preserve">MULTA DO FGTS </t>
  </si>
  <si>
    <t>Grupo D</t>
  </si>
  <si>
    <t>INCIDENCIA DO GRUPO A SOBRE O GRUPO B</t>
  </si>
  <si>
    <t>Grupo E</t>
  </si>
  <si>
    <t>TOTAL DOS ENCARGOS (Grupos A+B+C+D)</t>
  </si>
  <si>
    <t>Observações:</t>
  </si>
  <si>
    <t>Quantidade</t>
  </si>
  <si>
    <t>Preço unitário R$</t>
  </si>
  <si>
    <t>Custo total R$</t>
  </si>
  <si>
    <t>CUSTO TOTAL =&gt;</t>
  </si>
  <si>
    <t>Descrição</t>
  </si>
  <si>
    <t>ANEXO VI</t>
  </si>
  <si>
    <t>Auxílio transporte</t>
  </si>
  <si>
    <t>II</t>
  </si>
  <si>
    <t>KIT FERRAMENTAS PARA OS AUXILIARES DE APOIO</t>
  </si>
  <si>
    <t>ANEXO VII</t>
  </si>
  <si>
    <t>A EMPRESA PODERÁ ALTERAR UNICAMENTO OS CAMPOS EM CINZA</t>
  </si>
  <si>
    <t>PLANILHA DE CUSTOS E FORMAÇÃO DE PREÇOS</t>
  </si>
  <si>
    <t>Valor da contratação R$:</t>
  </si>
  <si>
    <t>Custo com mão de obra no 1º turno - R$:</t>
  </si>
  <si>
    <t>Custo com mão de obra no 2º turno - R$:</t>
  </si>
  <si>
    <t>Valor da passagem urbuna - Teresina:</t>
  </si>
  <si>
    <t>Postos de serviços</t>
  </si>
  <si>
    <t>TIPOS DE POSTOS</t>
  </si>
  <si>
    <t>AUXILIAR DE APOIO ÀS ELEIÇÕES</t>
  </si>
  <si>
    <t>CAPITAL</t>
  </si>
  <si>
    <t>Vr. mínimo do salário - R$</t>
  </si>
  <si>
    <t>Auxílio alimentação</t>
  </si>
  <si>
    <t>Seguro de vida CCT</t>
  </si>
  <si>
    <t>CUSTO MENSAL - R$</t>
  </si>
  <si>
    <t>Taxa de Administração</t>
  </si>
  <si>
    <t>Taxa de Lucro</t>
  </si>
  <si>
    <t>CUSTO COM MÃO DE OBRA - 1º TURNO</t>
  </si>
  <si>
    <t>CUSTO TOTAL ===&gt;</t>
  </si>
  <si>
    <t>CUSTO COM MÃO DE OBRA - 2º TURNO</t>
  </si>
  <si>
    <t>CUSTO DOS UNIFORMES POR CONJUNTO DE POSTOS - R$</t>
  </si>
  <si>
    <t>CUSTO DOS UNIFORMES + LDI - R$</t>
  </si>
  <si>
    <t>VALOR DA FATURA DOS UNIFORMES - R$</t>
  </si>
  <si>
    <t>ENCARGOS INCIDENTES</t>
  </si>
  <si>
    <t>CUSTO ESTIMADO DAS HORAS SUPLEMENTARES</t>
  </si>
  <si>
    <t>CÁLCULO DOS VALORES DAS HORAS SUPLEMENTARES - EMPREGADO/EMPRESA</t>
  </si>
  <si>
    <t>VALOR BRUTO</t>
  </si>
  <si>
    <t>%</t>
  </si>
  <si>
    <t>POR EMPREGADO - R$</t>
  </si>
  <si>
    <t>PARA A CONTRATADA - R$</t>
  </si>
  <si>
    <t>ESTIMATIVAS PARCIAIS - R$</t>
  </si>
  <si>
    <t>ESTIMATIVAS POR POSTOS -R$</t>
  </si>
  <si>
    <t>ESTIMATIVA PARA ESTA CONTRATAÇÃO - R$</t>
  </si>
  <si>
    <t>ENCARGOS SOCIAIS: Conforme planilha de encargos sociais calculados nos percentuais máximos.</t>
  </si>
  <si>
    <t>MONTANTE B: Corresponde aos itens componentes do custo direto inicial e demais insumos de aplicação direta para execução do objeto do contrato, conforme a natureza dos serviços contratados, tais como: uniformes, auxílio alimentação, auxílio transporte, seguro de vida, assistência médico-odontológico, equipamentos, ferramentas, material de consumo, etc.</t>
  </si>
  <si>
    <t>ALIMENTAÇÃO: Valor convencionado que tem por base 22 dias úteis de trabalho.</t>
  </si>
  <si>
    <t>SEGURO DE VIDA: Valor do prêmio de seguro de vida referido na CCT vigente registrada no Ministério do Trabalho e Emprego, como segue: P = (Pisox26) x 0,60406% (fornecido por corretores via telefone com base em 80 segurados) + 0,38% (IOF)/12.</t>
  </si>
  <si>
    <t>PIS, COFINS e ISS: Percentuais de recolhimento de tributos a ser definidos conforme o regime de tributação da empresa (lucro real, lucro presumido ou simples federal).</t>
  </si>
  <si>
    <t>LDI =</t>
  </si>
  <si>
    <t>(Montante A + Montante B)</t>
  </si>
  <si>
    <t>[(1 + taxa de administração) x (1 + taxa de lucro) - 1]</t>
  </si>
  <si>
    <t>(1 - %PIS - %COFINS - %ISS)</t>
  </si>
  <si>
    <t>UNIFORMES</t>
  </si>
  <si>
    <t>I</t>
  </si>
  <si>
    <t>A PROPONENTE PODERÁ ALTERAR APENAS OS CAMPOS EM CINZA</t>
  </si>
  <si>
    <t>SERVIÇOS DE GERENTE E AUXILIARES DE APOIO ÀS ELEIÇÕES</t>
  </si>
  <si>
    <t>CUSTOS COM DIÁRIAS DE TREINAMENTO E DESLOCAMENTO A SERVIÇO</t>
  </si>
  <si>
    <t>TAXA ADMINISTRAÇÃO</t>
  </si>
  <si>
    <t>VALOR DA DIÁRIA PARA EMPRESA - R$ ==&gt;</t>
  </si>
  <si>
    <t>CUSTO TOTAL SEM INCIDÊNCIA DO INSS ==&gt;</t>
  </si>
  <si>
    <t>CUSTO UNITÁRIO ESTIMADO COM MÃO DE OBRA SEM LDI</t>
  </si>
  <si>
    <t>LUCRO E DESPESAS INDIRETAS (LDI)</t>
  </si>
  <si>
    <t>VALOR DA DIÁRIA PARA OS AUXILIARES - R$ ==&gt;</t>
  </si>
  <si>
    <t>CUSTO ESTIMADO POR TIPO DE POSTO DE SERVIÇO- R$ ==&gt;</t>
  </si>
  <si>
    <t>CUSTO TOTAL ESTIMADO - R$ ==&gt;</t>
  </si>
  <si>
    <t>VALOR UNITÁRIO</t>
  </si>
  <si>
    <t>ESTIMATIVA  E CÁLCULO DE REALIZAÇÃO DE HORAS SUPLEMENTARES 1º TURNO</t>
  </si>
  <si>
    <t>Auxilio alimentação:</t>
  </si>
  <si>
    <t>Custo com o fornecimento de uniformes - R$:</t>
  </si>
  <si>
    <t>ESTIMATIVA  E CÁLCULO DE REALIZAÇÃO DE HORAS SUPLEMENTARES 2º TURNO</t>
  </si>
  <si>
    <t>Custo estimado com horas extras 1º turno - R$:</t>
  </si>
  <si>
    <t>Custo estimado com horas extras 2º turno - R$:</t>
  </si>
  <si>
    <t>FATURA COM LDI - R$</t>
  </si>
  <si>
    <t>Crachá em PVC Branco 0,5mm/Tamanho Final: 5,4×8,5cm /Tam. com Sangra: 6,0×9,1cm /Com presilha metálica cromada/Acabamento: Cantos Arredondados e furo.</t>
  </si>
  <si>
    <t>PESQUISA DE PREÇO</t>
  </si>
  <si>
    <t>PREÇO POR EMPRESA - R$</t>
  </si>
  <si>
    <t>Equipamento/Uniforme</t>
  </si>
  <si>
    <t>Empresa =&gt;</t>
  </si>
  <si>
    <t>KIT FERRAMENTAS</t>
  </si>
  <si>
    <t>Encargos sociais*</t>
  </si>
  <si>
    <t>Item 1</t>
  </si>
  <si>
    <t>Art. 2º, §3º, da Lei 11.457/2007, e Art. 22, inciso I, da Lei 8.212/91.</t>
  </si>
  <si>
    <t>Item 2</t>
  </si>
  <si>
    <t>Art. 15, Lei nº 8.036/90 e Art. 7º , III, CF/88.</t>
  </si>
  <si>
    <t>Item 3</t>
  </si>
  <si>
    <t xml:space="preserve"> Art. 30 da Lei nº 8.036/90. </t>
  </si>
  <si>
    <t>Item 4</t>
  </si>
  <si>
    <t xml:space="preserve"> Art. 1º, Decreto-Lei 6.246/1944 (SENAI) e Art. 4º Decreto-Lei 8.621/1946 (SENAC).</t>
  </si>
  <si>
    <t>Item 5</t>
  </si>
  <si>
    <t xml:space="preserve">Art. 1º, I, 2 c/c art. 3º ambos do Decreto-Lei nº 1.146/70. </t>
  </si>
  <si>
    <t>Item 6</t>
  </si>
  <si>
    <t xml:space="preserve">Art. 3º, I, Decreto 87.043/1982 e art. 15, da Lei nº 9.424/96; do art. 2º do Decreto nº 3.142/99; e art. 212, § 5º da CF/88. </t>
  </si>
  <si>
    <t>Item 7</t>
  </si>
  <si>
    <t>Art. 8, Lei nº 8.029/90.</t>
  </si>
  <si>
    <t>Item 8</t>
  </si>
  <si>
    <t>Entre 0,5 a 6%, conforme artigo 22, inciso II, da Lei nº 8.212/91, Decreto 3048/1999 e 6957/2009.</t>
  </si>
  <si>
    <t>Item 9</t>
  </si>
  <si>
    <t>Art. 7º, VIII, CF/88</t>
  </si>
  <si>
    <t>Item 10</t>
  </si>
  <si>
    <t>Item 11</t>
  </si>
  <si>
    <t>Art. 7º, XVII, CF/88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</si>
  <si>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</si>
  <si>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</si>
  <si>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</si>
  <si>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</si>
  <si>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</si>
  <si>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</si>
  <si>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</si>
  <si>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</si>
  <si>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Art. 18, § 1º da Lei 8.036/90, e LC nº 110/2001, 40% da soma dos depósitos do FGTS, no caso de rescisão sem justa causa.</t>
  </si>
  <si>
    <t>Item 20</t>
  </si>
  <si>
    <t>Grupo A x Grupo B</t>
  </si>
  <si>
    <t>Item 21</t>
  </si>
  <si>
    <t>Grupo A x FGTS</t>
  </si>
  <si>
    <t>CÁLCULO MENSAL DA CONTA-DEPÓSITO VINCULADA/BLOQUEADA PARA MOVIMENTAÇÃO</t>
  </si>
  <si>
    <t>(Art. 4º da Resolução CNJ N.º 169/2013, alterada pela Res. CNJ n.º 183/2013)</t>
  </si>
  <si>
    <t>% Encargos Sociais</t>
  </si>
  <si>
    <t>Valor - R$</t>
  </si>
  <si>
    <t>Férias</t>
  </si>
  <si>
    <t>1/3 constitucional</t>
  </si>
  <si>
    <t>13º salário</t>
  </si>
  <si>
    <t>Multa FGTS</t>
  </si>
  <si>
    <t>1/3 férias</t>
  </si>
  <si>
    <t>Valor unitário por tipo de posto</t>
  </si>
  <si>
    <t>CONTA VINCULADA - Resolução do CNJ N.º 169/13:</t>
  </si>
  <si>
    <t>ESTIMATIVA PARA PLANO DE SAÚDE (40% CCT/2022) - R$</t>
  </si>
  <si>
    <t>CAPITAL - PERFIL I</t>
  </si>
  <si>
    <t>CAPITAL - PERFIL II</t>
  </si>
  <si>
    <t>INTERIOR - PERFIL I</t>
  </si>
  <si>
    <t>INTERIOR - PERFIL II</t>
  </si>
  <si>
    <t>ESTIMATIVA PARA UNIFORMES - R$</t>
  </si>
  <si>
    <t>Tempo de prestação de serviços para 30 (trinta) dias ==&gt;</t>
  </si>
  <si>
    <t>Treinamento em Teresina</t>
  </si>
  <si>
    <t>Custo com passagens rodoviárias (treinamento) - R$</t>
  </si>
  <si>
    <t>Piso da categoria CCT 2023- MÊS/DIA:</t>
  </si>
  <si>
    <t>SERVIÇOS INTERMITENTES DE GERENTE E AUXILIARES DE APOIO ÀS ELEIÇÕES/2024</t>
  </si>
  <si>
    <t>Plano de Saúde:</t>
  </si>
  <si>
    <t>SEM LDI - R$ ==&gt;</t>
  </si>
  <si>
    <t>NOME DA EMPRESA:</t>
  </si>
  <si>
    <t>CNPJ:</t>
  </si>
  <si>
    <t>ANEXO IV</t>
  </si>
  <si>
    <t>ANEXO V</t>
  </si>
  <si>
    <t>Sem desoneração</t>
  </si>
  <si>
    <t>Com desoneração</t>
  </si>
  <si>
    <t>PREVIDÊNCIA SOCIAL</t>
  </si>
  <si>
    <t>SUBSTITUIÇÃO DURANTE FÉRIAS</t>
  </si>
  <si>
    <t>Contribução Previdenciária s/ Receita Bruta:</t>
  </si>
  <si>
    <t>CPRB</t>
  </si>
  <si>
    <t>A EMPRESA PODERÁ ALTERAR UNICAMENTE OS CAMPOS EM CINZA, NO CASO DE VALORES PARA MENOR OU IGUAL AO APRESENTADO</t>
  </si>
  <si>
    <t>A LICITANTE DEVERÁ INFORMAR PRIMEIRAMENTE SEU REGIME DE TRIBUTAÇÃO NESTE ANEXO E DEPOIS PREENCHER OS ANEXOS III e IV</t>
  </si>
  <si>
    <t>PLANILHAS DE CUSTOS E FORMAÇÃO DE PREÇOS RELATIVOS AOS EXAMES E LAUDOS</t>
  </si>
  <si>
    <t>PREÇO DESTE ANEXO - R$ ==&gt;</t>
  </si>
  <si>
    <t>ANEXO VIII - A</t>
  </si>
  <si>
    <t>PLANILHAS DE CUSTOS E FORMAÇÃO DE PREÇOS RELATIVOS AOS SERVIÇOS DE APOIO ADMINISTRATIVO</t>
  </si>
  <si>
    <t>Exames admissionais de demissionais</t>
  </si>
  <si>
    <t>A PROPONENTE PODERÁ ALTERAR UNICAMENTE OS CAMPOS EM CINZA PARA VALORES MENORES AO DO EDITAL</t>
  </si>
  <si>
    <t>EXAMES PREVISTOS NO ART. 168 DA CLT</t>
  </si>
  <si>
    <t>Equipamentos</t>
  </si>
  <si>
    <t>Preço médio unitário R$</t>
  </si>
  <si>
    <t>Preço unitário com LDI R$</t>
  </si>
  <si>
    <t>Exame seguido de atestado acerca da aptidão para o trabalho, consistindo da anamnese médica; e avaliação física e psicológica (Admissional)</t>
  </si>
  <si>
    <t>Exame seguido de atestado acerca da aptidão para o trabalho, consistindo da anamnese médica; e avaliação física e psicológica (demissional)</t>
  </si>
  <si>
    <t>OBS: tal exame visa atestar se o candidato escolhido está apto, em termos de saúde física e mental, para assumir o cargo.</t>
  </si>
  <si>
    <t>OBS: o empregado estará dispensado de realizar o exame demissional quando o último exame médico tiver ocorrido: há menos de 135 dias, no caso de empresas de grau de risco 1 e 2; e há menos de 90 dias, no caso de empresas de grau de risco 3 e 4</t>
  </si>
  <si>
    <t>ANEXO III - F</t>
  </si>
  <si>
    <t>Incidência do INSS e FGTS sobre</t>
  </si>
  <si>
    <t>PERCENTUAL SOBRE O VALOR DA MÃO DE OBRA MENSAL - %</t>
  </si>
  <si>
    <t>TOTAL A DEPOSITAR POR POSTO  - R$</t>
  </si>
  <si>
    <t>TOTAL A DEPOSITAR - R$</t>
  </si>
  <si>
    <t>* o preço utilizado nesta contratação leva em conta a Portaria Presidência Nº 826/2022 TRE/PRESI/DG/ASSDG, de 05 de setembro de 2022 (SEI 1633088) que determina a utilização do Manual de Orientação de Pesquisa de Preços do Superior Tribunal de Justiça - 4ª,  Edição , Processo SEI 0015705-21.2022.6.18.8000. Assim, para cada item pesquisado o CV (coeficiente de variação) foi determinante para determinação utilização do preço médio, ou da mediana, melhor dizendo se o CV for maior que 25% utilizamos a mediana, do contrário a média.</t>
  </si>
  <si>
    <t>COEFICIENTE DE VARIAÇÃO</t>
  </si>
  <si>
    <t>MÉDIA R$</t>
  </si>
  <si>
    <t xml:space="preserve">DESVIO PADRÃO R$ </t>
  </si>
  <si>
    <t>MEDIANA R$</t>
  </si>
  <si>
    <t>*PREÇO ESTIMADO DE REFERÊNCIA R$</t>
  </si>
  <si>
    <t>Uniformes para Gerente Administrativo e Auxiliares de Apoio Especializado</t>
  </si>
  <si>
    <t>Kit - Uniformes para Auxiliares de Apoio Especializado</t>
  </si>
  <si>
    <t>TAXA DE ADMINISTRAÇÃO: Despesas rateadas em diversos contratos a carteira comercial da contratada para suprir gastos gerais com a manutenção do contrato, tais como: aluguel e condomínio da sede, água, luz, salários dos funcionários da administração, material de expediente, material de limpeza, treinamento/reciclagem de funcionários alocados na execução do contrato, envio de equipamentos para as unidades desta Justiça Eleitoral, bem como vantagens e benefícios previstos em acordos coletivos e não consignados diretamente no Montante "B" da planilha de custos e de formação de preços. Máximo de 6,00%.</t>
  </si>
  <si>
    <t>TAXA DE LUCRO: Ganho auferido em decorrência da execução do contrato. Máximo de 6,00%. Incide sobre o Montante A, Motante B e Taxa e Administração.</t>
  </si>
  <si>
    <t>V &amp; M UNIFORMES</t>
  </si>
  <si>
    <t>JOTAPÊ MALHAS</t>
  </si>
  <si>
    <t>NKN FARDAS</t>
  </si>
  <si>
    <t>PADRONIZE</t>
  </si>
  <si>
    <t>CT 145/2023 PM STº ANTº DA PLATINA</t>
  </si>
  <si>
    <t>NORTE CÓPIA</t>
  </si>
  <si>
    <t>COMERCIAL PARAFUSOS</t>
  </si>
  <si>
    <t>CASA DAS MÁQUINAS</t>
  </si>
  <si>
    <t>JÚLIO FERRAMENTAS</t>
  </si>
  <si>
    <t>ANEXO II - A</t>
  </si>
  <si>
    <t>ANEXO II - B</t>
  </si>
  <si>
    <t>ANEXO II - C</t>
  </si>
  <si>
    <t>ANEXO II - D</t>
  </si>
  <si>
    <t>ANEXO II - E</t>
  </si>
  <si>
    <t>ANEXO III</t>
  </si>
  <si>
    <t>ANEXO VIII - B</t>
  </si>
  <si>
    <r>
      <t xml:space="preserve">CUSTO ESTIMADO COM MÃO DE OBRA: </t>
    </r>
    <r>
      <rPr>
        <sz val="12"/>
        <color indexed="8"/>
        <rFont val="Calibri Light"/>
        <family val="2"/>
        <scheme val="major"/>
      </rPr>
      <t>Decorrente da relação contratual entre a Contratada e seus empregados. Previsto em lei ou dispositivo leal com força de lei.</t>
    </r>
  </si>
  <si>
    <r>
      <t xml:space="preserve">LUCRO E DESPESAS INDIRETAS: </t>
    </r>
    <r>
      <rPr>
        <sz val="12"/>
        <color indexed="8"/>
        <rFont val="Calibri Light"/>
        <family val="2"/>
        <scheme val="major"/>
      </rPr>
      <t>Valor correspondente à Taxa de Administração sobre o valor do montante A + montante B, acréscido da Taxa de Lucro dos tributos (PIS, COFINS, ISS e INSS) sendo estes últimos calculados por dentro.</t>
    </r>
  </si>
  <si>
    <r>
      <t xml:space="preserve">CUSTO MENSAL UNITÁRIO POR TIPO DE POSTO: </t>
    </r>
    <r>
      <rPr>
        <sz val="12"/>
        <color indexed="8"/>
        <rFont val="Calibri Light"/>
        <family val="2"/>
        <scheme val="major"/>
      </rPr>
      <t>Corresponde ao preço de um posto de trabalho que equivale: Montante A + Montante B + LDI</t>
    </r>
  </si>
  <si>
    <r>
      <t xml:space="preserve">CUSTO MENSAL POR CONJUTNO DE POSTO: </t>
    </r>
    <r>
      <rPr>
        <sz val="12"/>
        <color indexed="8"/>
        <rFont val="Calibri Light"/>
        <family val="2"/>
        <scheme val="major"/>
      </rPr>
      <t>Corresponde ao custo mensal unitário por tipo de posto multiplicado pelo número de postos de serviços.</t>
    </r>
  </si>
  <si>
    <r>
      <t xml:space="preserve">CUSTO DOS UNIFORMES: </t>
    </r>
    <r>
      <rPr>
        <sz val="12"/>
        <rFont val="Calibri Light"/>
        <family val="2"/>
        <scheme val="major"/>
      </rPr>
      <t>Corresponde ao valor levantado junto ao mercado (local e nacional)</t>
    </r>
  </si>
  <si>
    <r>
      <t>VALOR DA FATURA DOS UNIFORMES</t>
    </r>
    <r>
      <rPr>
        <sz val="12"/>
        <rFont val="Calibri Light"/>
        <family val="2"/>
        <scheme val="major"/>
      </rPr>
      <t>: Corresponde ao valor que a contratada receberá após entrega de todos os uniformes aos terceirizados. Este valor corresponde ao valor de mercado e contratos públicos do uniforme acrescido da LDI multiplicado pelo número de agentes e de encarregado</t>
    </r>
  </si>
  <si>
    <r>
      <t xml:space="preserve">VALOR LÍQUIDO DA DIÁRIA DE DESLOCAMENTO: </t>
    </r>
    <r>
      <rPr>
        <sz val="12"/>
        <rFont val="Calibri Light"/>
        <family val="2"/>
        <scheme val="major"/>
      </rPr>
      <t>Valor a ser pago aos Auxiliares de Apoio Especializado quando prestação dos serviços em local distinto à Sede da Zona.</t>
    </r>
  </si>
  <si>
    <r>
      <t>PLANO DE SAÚDE:</t>
    </r>
    <r>
      <rPr>
        <sz val="12"/>
        <rFont val="Calibri Light"/>
        <family val="2"/>
        <scheme val="major"/>
      </rPr>
      <t xml:space="preserve"> Valor pesquisado para o Contrato TRE-PI nº 67/2022  </t>
    </r>
    <r>
      <rPr>
        <b/>
        <sz val="12"/>
        <rFont val="Calibri Light"/>
        <family val="2"/>
        <scheme val="major"/>
      </rPr>
      <t>(SEI 1373720)</t>
    </r>
  </si>
  <si>
    <r>
      <t xml:space="preserve">HORAS SUPLEMENTARES: </t>
    </r>
    <r>
      <rPr>
        <sz val="12"/>
        <color indexed="8"/>
        <rFont val="Calibri Light"/>
        <family val="2"/>
        <scheme val="major"/>
      </rPr>
      <t>Valores unitários estimados com base na legislação vigente multiplicado pela quantidade prevista para esta contratação.</t>
    </r>
  </si>
  <si>
    <r>
      <t xml:space="preserve">FERRAMENTAL: </t>
    </r>
    <r>
      <rPr>
        <sz val="12"/>
        <color indexed="8"/>
        <rFont val="Calibri Light"/>
        <family val="2"/>
        <scheme val="major"/>
      </rPr>
      <t>Valor agregados dos custos das ferramentas a serem fornecidas aos Auxiliares de Apoio Especilizado, pesquisados junto à diversos fornecedores nesta Capital, conforme Anexo V e VIII.</t>
    </r>
  </si>
  <si>
    <r>
      <t>CONTA VINCULADA:</t>
    </r>
    <r>
      <rPr>
        <sz val="12"/>
        <color indexed="8"/>
        <rFont val="Calibri Light"/>
        <family val="2"/>
        <scheme val="major"/>
      </rPr>
      <t xml:space="preserve"> CONTA VINCULADA - Resolução do CNJ N.º 169/13</t>
    </r>
  </si>
  <si>
    <r>
      <t xml:space="preserve">R A T  X  F A P </t>
    </r>
    <r>
      <rPr>
        <vertAlign val="superscript"/>
        <sz val="12"/>
        <color indexed="8"/>
        <rFont val="Calibri Light"/>
        <family val="2"/>
        <scheme val="major"/>
      </rPr>
      <t xml:space="preserve">2 </t>
    </r>
  </si>
  <si>
    <r>
      <t>13</t>
    </r>
    <r>
      <rPr>
        <strike/>
        <sz val="12"/>
        <color indexed="8"/>
        <rFont val="Calibri Light"/>
        <family val="2"/>
        <scheme val="major"/>
      </rPr>
      <t>º</t>
    </r>
    <r>
      <rPr>
        <sz val="12"/>
        <color indexed="8"/>
        <rFont val="Calibri Light"/>
        <family val="2"/>
        <scheme val="major"/>
      </rPr>
      <t xml:space="preserve"> SALÁRIO</t>
    </r>
  </si>
  <si>
    <r>
      <t>AVISO PRÉVIO TRABALHADO</t>
    </r>
    <r>
      <rPr>
        <vertAlign val="superscript"/>
        <sz val="12"/>
        <color indexed="8"/>
        <rFont val="Calibri Light"/>
        <family val="2"/>
        <scheme val="major"/>
      </rPr>
      <t>3</t>
    </r>
  </si>
  <si>
    <r>
      <t xml:space="preserve">TOTAL DAS RETENÇÕES </t>
    </r>
    <r>
      <rPr>
        <b/>
        <vertAlign val="superscript"/>
        <sz val="12"/>
        <color indexed="8"/>
        <rFont val="Calibri Light"/>
        <family val="2"/>
        <scheme val="major"/>
      </rPr>
      <t xml:space="preserve">3 </t>
    </r>
    <r>
      <rPr>
        <b/>
        <sz val="12"/>
        <color indexed="8"/>
        <rFont val="Calibri Light"/>
        <family val="2"/>
        <scheme val="major"/>
      </rPr>
      <t>(13º Salário + Férias + Abono Férias + Incidência A em B +  Multa FGTS)</t>
    </r>
  </si>
  <si>
    <r>
      <t xml:space="preserve"> </t>
    </r>
    <r>
      <rPr>
        <sz val="12"/>
        <color indexed="8"/>
        <rFont val="Calibri Light"/>
        <family val="2"/>
        <scheme val="major"/>
      </rPr>
      <t>Art. 7º, XVII, CF/88</t>
    </r>
  </si>
  <si>
    <r>
      <t xml:space="preserve">Art. 7º, XXI CF/88, Art. 477, 487 e ss. da CLT. </t>
    </r>
    <r>
      <rPr>
        <i/>
        <sz val="12"/>
        <color indexed="8"/>
        <rFont val="Calibri Light"/>
        <family val="2"/>
        <scheme val="major"/>
      </rPr>
      <t xml:space="preserve">Redução de 7 dias ou de 2 horas por dia para 100% dos empregados. Percentual relativo a contrato de 12 meses, após esse período </t>
    </r>
    <r>
      <rPr>
        <b/>
        <i/>
        <sz val="12"/>
        <color indexed="8"/>
        <rFont val="Calibri Light"/>
        <family val="2"/>
        <scheme val="major"/>
      </rPr>
      <t>será reduzido</t>
    </r>
    <r>
      <rPr>
        <i/>
        <sz val="12"/>
        <color indexed="8"/>
        <rFont val="Calibri Light"/>
        <family val="2"/>
        <scheme val="major"/>
      </rPr>
      <t xml:space="preserve"> para 0,194%.</t>
    </r>
  </si>
  <si>
    <r>
      <t xml:space="preserve">Art. 59 e ss da Lei nº 8.213/91. </t>
    </r>
    <r>
      <rPr>
        <i/>
        <sz val="12"/>
        <color indexed="8"/>
        <rFont val="Calibri Light"/>
        <family val="2"/>
        <scheme val="major"/>
      </rPr>
      <t>Estimativa  de 5 dias de licença por ano.</t>
    </r>
  </si>
  <si>
    <r>
      <t xml:space="preserve"> Art. 19 a 23 da Lei 8213/91. O Art. 27 do Decreto nº 89.312, de 23/01/84, obriga o empregador a assumir o ônus financeiro pelo prazo de 15 dias, no caso de acidente de trabalho previsto no art. 131 da CLT. </t>
    </r>
    <r>
      <rPr>
        <i/>
        <sz val="12"/>
        <color indexed="8"/>
        <rFont val="Calibri Light"/>
        <family val="2"/>
        <scheme val="major"/>
      </rPr>
      <t>Estimativa de 1 (uma) licença de 20 (vinte) dias por ano para 8% dos empregados.</t>
    </r>
  </si>
  <si>
    <r>
      <t xml:space="preserve">Art. 473 da CLT. </t>
    </r>
    <r>
      <rPr>
        <i/>
        <sz val="12"/>
        <color indexed="8"/>
        <rFont val="Calibri Light"/>
        <family val="2"/>
        <scheme val="major"/>
      </rPr>
      <t xml:space="preserve">Estimativa de 3 (três) dias de licença por ano por empregado. </t>
    </r>
  </si>
  <si>
    <r>
      <t xml:space="preserve">Impacto do item férias sobre a licença maternidade. </t>
    </r>
    <r>
      <rPr>
        <i/>
        <sz val="12"/>
        <color indexed="8"/>
        <rFont val="Calibri Light"/>
        <family val="2"/>
        <scheme val="major"/>
      </rPr>
      <t>Estimativa de 2% das empregadas usufruirão de 4 (quatro) meses de licença por ano.</t>
    </r>
  </si>
  <si>
    <r>
      <t>Art. 7º, XIX da CF/88, c/c com o art. 10, § 1º dos Atos das Disposições Constitucionais Transitórias – ADCT. Art.1º da Lei 13.257/2016.</t>
    </r>
    <r>
      <rPr>
        <i/>
        <sz val="12"/>
        <color indexed="8"/>
        <rFont val="Calibri Light"/>
        <family val="2"/>
        <scheme val="major"/>
      </rPr>
      <t xml:space="preserve"> Estimativa de 1,5% dos empregados usufruirão de 20 (vinte) dias de licença por ano.</t>
    </r>
  </si>
  <si>
    <r>
      <t xml:space="preserve"> Art. 7º, XXI, CF/88 eArt. 477 e § 1º do art. 487 e  da CLT.</t>
    </r>
    <r>
      <rPr>
        <i/>
        <sz val="12"/>
        <color indexed="8"/>
        <rFont val="Calibri Light"/>
        <family val="2"/>
        <scheme val="major"/>
      </rPr>
      <t xml:space="preserve"> Estimativa de que 5% dos empregados serão substituídos durante 1 (um) ano</t>
    </r>
    <r>
      <rPr>
        <sz val="12"/>
        <color indexed="8"/>
        <rFont val="Calibri Light"/>
        <family val="2"/>
        <scheme val="major"/>
      </rPr>
      <t>.</t>
    </r>
  </si>
  <si>
    <t>Inova Tecnologia em Serviços Ltda</t>
  </si>
  <si>
    <t>05.208.408/0001-77</t>
  </si>
  <si>
    <t>PIS/COFINS: média dos efetivos recolhimentos nos termos do item 5.5 do Edital do presente processo.</t>
  </si>
  <si>
    <t>Nos termos do artigo 443 da CLT, serão celebrados, entre a INOVA e seus contratados, contratos de trabalho por prazo determinado sem cláusula assecuratória do direito recíproco a rescisão sendo  que, nesta modalidade de contratação, não são aplicáveis as verbas relacionadas no "Grupo C".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</si>
</sst>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 &quot;#,##0.00"/>
    <numFmt numFmtId="166" formatCode="#,##0.00;[Red]#,##0.00"/>
    <numFmt numFmtId="167" formatCode="#,##0;[Red]#,##0"/>
    <numFmt numFmtId="168" formatCode="_-* #,##0.00_-;\-* #,##0.00_-;_-* \-??_-;_-@_-"/>
    <numFmt numFmtId="169" formatCode="_(* #,##0.00_);_(* \(#,##0.00\);_(* \-??_);_(@_)"/>
    <numFmt numFmtId="170" formatCode="&quot;R$ &quot;#,##0.00;[Red]&quot;R$ &quot;#,##0.00"/>
    <numFmt numFmtId="171" formatCode="0.0"/>
  </numFmts>
  <fonts count="23" x14ac:knownFonts="1"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2"/>
      <color indexed="9"/>
      <name val="Calibri"/>
      <family val="2"/>
    </font>
    <font>
      <sz val="11"/>
      <color indexed="8"/>
      <name val="Calibri"/>
      <family val="2"/>
      <charset val="1"/>
    </font>
    <font>
      <b/>
      <sz val="12"/>
      <color indexed="9"/>
      <name val="Calibri Light"/>
      <family val="2"/>
      <scheme val="major"/>
    </font>
    <font>
      <b/>
      <sz val="12"/>
      <color indexed="63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10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63"/>
      <name val="Calibri Light"/>
      <family val="2"/>
      <scheme val="major"/>
    </font>
    <font>
      <sz val="12"/>
      <color indexed="10"/>
      <name val="Calibri Light"/>
      <family val="2"/>
      <scheme val="major"/>
    </font>
    <font>
      <vertAlign val="superscript"/>
      <sz val="12"/>
      <color indexed="8"/>
      <name val="Calibri Light"/>
      <family val="2"/>
      <scheme val="major"/>
    </font>
    <font>
      <strike/>
      <sz val="12"/>
      <color indexed="8"/>
      <name val="Calibri Light"/>
      <family val="2"/>
      <scheme val="major"/>
    </font>
    <font>
      <b/>
      <vertAlign val="superscript"/>
      <sz val="12"/>
      <color indexed="8"/>
      <name val="Calibri Light"/>
      <family val="2"/>
      <scheme val="major"/>
    </font>
    <font>
      <i/>
      <sz val="12"/>
      <color indexed="8"/>
      <name val="Calibri Light"/>
      <family val="2"/>
      <scheme val="major"/>
    </font>
    <font>
      <b/>
      <i/>
      <sz val="12"/>
      <color indexed="8"/>
      <name val="Calibri Light"/>
      <family val="2"/>
      <scheme val="major"/>
    </font>
    <font>
      <i/>
      <sz val="12"/>
      <name val="Calibri Light"/>
      <family val="2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41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31"/>
      </patternFill>
    </fill>
  </fills>
  <borders count="9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11">
    <xf numFmtId="0" fontId="0" fillId="0" borderId="0"/>
    <xf numFmtId="0" fontId="2" fillId="2" borderId="1" applyNumberFormat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0" fontId="3" fillId="0" borderId="0"/>
    <xf numFmtId="0" fontId="7" fillId="3" borderId="2" applyNumberFormat="0" applyAlignment="0" applyProtection="0"/>
    <xf numFmtId="0" fontId="7" fillId="3" borderId="2" applyNumberFormat="0" applyAlignment="0" applyProtection="0"/>
    <xf numFmtId="169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2" borderId="1" applyNumberFormat="0" applyAlignment="0" applyProtection="0"/>
  </cellStyleXfs>
  <cellXfs count="439">
    <xf numFmtId="0" fontId="0" fillId="0" borderId="0" xfId="0"/>
    <xf numFmtId="4" fontId="8" fillId="8" borderId="10" xfId="0" applyNumberFormat="1" applyFont="1" applyFill="1" applyBorder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 vertical="center"/>
    </xf>
    <xf numFmtId="49" fontId="11" fillId="4" borderId="48" xfId="0" applyNumberFormat="1" applyFont="1" applyFill="1" applyBorder="1" applyAlignment="1" applyProtection="1">
      <alignment horizontal="center" vertical="center"/>
      <protection locked="0"/>
    </xf>
    <xf numFmtId="170" fontId="11" fillId="0" borderId="6" xfId="0" applyNumberFormat="1" applyFont="1" applyBorder="1" applyAlignment="1">
      <alignment horizontal="center" vertical="center"/>
    </xf>
    <xf numFmtId="170" fontId="11" fillId="0" borderId="7" xfId="0" applyNumberFormat="1" applyFont="1" applyBorder="1" applyAlignment="1">
      <alignment horizontal="center" vertical="center"/>
    </xf>
    <xf numFmtId="44" fontId="13" fillId="0" borderId="0" xfId="2" applyFont="1"/>
    <xf numFmtId="4" fontId="10" fillId="9" borderId="10" xfId="0" applyNumberFormat="1" applyFont="1" applyFill="1" applyBorder="1"/>
    <xf numFmtId="4" fontId="11" fillId="0" borderId="0" xfId="0" applyNumberFormat="1" applyFont="1"/>
    <xf numFmtId="0" fontId="11" fillId="0" borderId="17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44" fontId="13" fillId="0" borderId="0" xfId="2" applyFont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164" fontId="11" fillId="0" borderId="0" xfId="0" applyNumberFormat="1" applyFont="1"/>
    <xf numFmtId="164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5" borderId="9" xfId="0" applyFont="1" applyFill="1" applyBorder="1" applyAlignment="1">
      <alignment vertical="center" wrapText="1"/>
    </xf>
    <xf numFmtId="165" fontId="11" fillId="5" borderId="6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165" fontId="11" fillId="5" borderId="10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/>
    </xf>
    <xf numFmtId="1" fontId="11" fillId="5" borderId="6" xfId="0" applyNumberFormat="1" applyFont="1" applyFill="1" applyBorder="1" applyAlignment="1">
      <alignment horizontal="center" vertical="center" wrapText="1"/>
    </xf>
    <xf numFmtId="1" fontId="11" fillId="5" borderId="46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10" fontId="10" fillId="0" borderId="7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10" fontId="11" fillId="0" borderId="0" xfId="0" applyNumberFormat="1" applyFont="1"/>
    <xf numFmtId="0" fontId="10" fillId="5" borderId="6" xfId="0" applyFont="1" applyFill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5" borderId="6" xfId="0" applyFont="1" applyFill="1" applyBorder="1" applyAlignment="1">
      <alignment horizontal="center"/>
    </xf>
    <xf numFmtId="4" fontId="11" fillId="7" borderId="6" xfId="0" applyNumberFormat="1" applyFont="1" applyFill="1" applyBorder="1" applyAlignment="1">
      <alignment horizontal="center" vertical="center"/>
    </xf>
    <xf numFmtId="4" fontId="11" fillId="7" borderId="10" xfId="0" applyNumberFormat="1" applyFont="1" applyFill="1" applyBorder="1" applyAlignment="1">
      <alignment horizontal="center" vertical="center"/>
    </xf>
    <xf numFmtId="10" fontId="11" fillId="7" borderId="6" xfId="0" applyNumberFormat="1" applyFont="1" applyFill="1" applyBorder="1" applyAlignment="1">
      <alignment horizontal="center"/>
    </xf>
    <xf numFmtId="10" fontId="13" fillId="0" borderId="6" xfId="4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14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165" fontId="11" fillId="5" borderId="7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5" fontId="11" fillId="5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10" fontId="11" fillId="0" borderId="6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7" fontId="11" fillId="0" borderId="8" xfId="0" applyNumberFormat="1" applyFont="1" applyBorder="1" applyAlignment="1">
      <alignment horizontal="center" vertical="center" wrapText="1"/>
    </xf>
    <xf numFmtId="171" fontId="11" fillId="0" borderId="6" xfId="0" applyNumberFormat="1" applyFont="1" applyBorder="1" applyAlignment="1">
      <alignment horizontal="center" vertical="center"/>
    </xf>
    <xf numFmtId="171" fontId="11" fillId="0" borderId="10" xfId="0" applyNumberFormat="1" applyFont="1" applyBorder="1" applyAlignment="1">
      <alignment horizontal="center" vertical="center"/>
    </xf>
    <xf numFmtId="3" fontId="10" fillId="6" borderId="6" xfId="0" applyNumberFormat="1" applyFont="1" applyFill="1" applyBorder="1" applyAlignment="1">
      <alignment horizontal="center" vertical="center"/>
    </xf>
    <xf numFmtId="3" fontId="10" fillId="6" borderId="10" xfId="0" applyNumberFormat="1" applyFont="1" applyFill="1" applyBorder="1" applyAlignment="1">
      <alignment horizontal="center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10" xfId="0" applyNumberFormat="1" applyFont="1" applyFill="1" applyBorder="1" applyAlignment="1">
      <alignment horizontal="center" vertical="center"/>
    </xf>
    <xf numFmtId="4" fontId="10" fillId="9" borderId="12" xfId="0" applyNumberFormat="1" applyFont="1" applyFill="1" applyBorder="1" applyAlignment="1">
      <alignment horizontal="center" vertical="center"/>
    </xf>
    <xf numFmtId="4" fontId="10" fillId="9" borderId="10" xfId="0" applyNumberFormat="1" applyFont="1" applyFill="1" applyBorder="1" applyAlignment="1">
      <alignment horizontal="center" vertical="center"/>
    </xf>
    <xf numFmtId="165" fontId="13" fillId="5" borderId="10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0" fontId="11" fillId="5" borderId="10" xfId="0" applyFont="1" applyFill="1" applyBorder="1" applyAlignment="1">
      <alignment vertical="center" wrapText="1"/>
    </xf>
    <xf numFmtId="0" fontId="11" fillId="6" borderId="0" xfId="0" applyFont="1" applyFill="1"/>
    <xf numFmtId="10" fontId="11" fillId="5" borderId="6" xfId="0" applyNumberFormat="1" applyFont="1" applyFill="1" applyBorder="1" applyAlignment="1">
      <alignment horizontal="center" vertical="center"/>
    </xf>
    <xf numFmtId="166" fontId="11" fillId="0" borderId="6" xfId="0" applyNumberFormat="1" applyFont="1" applyBorder="1" applyAlignment="1">
      <alignment horizontal="center" vertical="center"/>
    </xf>
    <xf numFmtId="166" fontId="11" fillId="0" borderId="10" xfId="0" applyNumberFormat="1" applyFont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21" xfId="0" applyFont="1" applyBorder="1" applyAlignment="1">
      <alignment horizontal="right"/>
    </xf>
    <xf numFmtId="39" fontId="10" fillId="0" borderId="21" xfId="0" quotePrefix="1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39" fontId="10" fillId="16" borderId="23" xfId="0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/>
    </xf>
    <xf numFmtId="166" fontId="11" fillId="20" borderId="51" xfId="0" applyNumberFormat="1" applyFont="1" applyFill="1" applyBorder="1" applyAlignment="1">
      <alignment horizontal="center" vertical="center"/>
    </xf>
    <xf numFmtId="166" fontId="11" fillId="18" borderId="51" xfId="0" applyNumberFormat="1" applyFont="1" applyFill="1" applyBorder="1" applyAlignment="1">
      <alignment horizontal="center" vertical="center"/>
    </xf>
    <xf numFmtId="10" fontId="10" fillId="19" borderId="6" xfId="0" applyNumberFormat="1" applyFont="1" applyFill="1" applyBorder="1" applyAlignment="1">
      <alignment horizontal="center" vertical="center"/>
    </xf>
    <xf numFmtId="166" fontId="11" fillId="20" borderId="52" xfId="0" applyNumberFormat="1" applyFont="1" applyFill="1" applyBorder="1" applyAlignment="1">
      <alignment horizontal="center" vertical="center"/>
    </xf>
    <xf numFmtId="166" fontId="11" fillId="16" borderId="50" xfId="7" applyNumberFormat="1" applyFont="1" applyFill="1" applyBorder="1" applyAlignment="1" applyProtection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166" fontId="11" fillId="0" borderId="11" xfId="0" applyNumberFormat="1" applyFont="1" applyBorder="1" applyAlignment="1">
      <alignment horizontal="center" vertical="center"/>
    </xf>
    <xf numFmtId="166" fontId="11" fillId="20" borderId="53" xfId="0" applyNumberFormat="1" applyFont="1" applyFill="1" applyBorder="1" applyAlignment="1">
      <alignment horizontal="center" vertical="center"/>
    </xf>
    <xf numFmtId="166" fontId="11" fillId="18" borderId="53" xfId="0" applyNumberFormat="1" applyFont="1" applyFill="1" applyBorder="1" applyAlignment="1">
      <alignment horizontal="center" vertical="center"/>
    </xf>
    <xf numFmtId="10" fontId="10" fillId="19" borderId="11" xfId="0" applyNumberFormat="1" applyFont="1" applyFill="1" applyBorder="1" applyAlignment="1">
      <alignment horizontal="center" vertical="center"/>
    </xf>
    <xf numFmtId="166" fontId="11" fillId="20" borderId="54" xfId="0" applyNumberFormat="1" applyFont="1" applyFill="1" applyBorder="1" applyAlignment="1">
      <alignment horizontal="center" vertical="center"/>
    </xf>
    <xf numFmtId="166" fontId="11" fillId="16" borderId="55" xfId="7" applyNumberFormat="1" applyFont="1" applyFill="1" applyBorder="1" applyAlignment="1" applyProtection="1">
      <alignment horizontal="center" vertical="center"/>
    </xf>
    <xf numFmtId="0" fontId="10" fillId="17" borderId="6" xfId="0" applyFont="1" applyFill="1" applyBorder="1" applyAlignment="1">
      <alignment horizontal="center" vertical="center" wrapText="1"/>
    </xf>
    <xf numFmtId="0" fontId="10" fillId="5" borderId="46" xfId="0" applyFont="1" applyFill="1" applyBorder="1" applyAlignment="1">
      <alignment horizontal="center" vertical="justify" wrapText="1"/>
    </xf>
    <xf numFmtId="0" fontId="10" fillId="17" borderId="10" xfId="0" applyFont="1" applyFill="1" applyBorder="1" applyAlignment="1">
      <alignment horizontal="center" vertical="center" wrapText="1"/>
    </xf>
    <xf numFmtId="167" fontId="11" fillId="0" borderId="6" xfId="0" applyNumberFormat="1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6" fontId="10" fillId="18" borderId="6" xfId="0" applyNumberFormat="1" applyFont="1" applyFill="1" applyBorder="1" applyAlignment="1">
      <alignment horizontal="center" vertical="center"/>
    </xf>
    <xf numFmtId="166" fontId="10" fillId="18" borderId="10" xfId="0" applyNumberFormat="1" applyFont="1" applyFill="1" applyBorder="1" applyAlignment="1">
      <alignment horizontal="center" vertical="center"/>
    </xf>
    <xf numFmtId="0" fontId="15" fillId="0" borderId="0" xfId="0" applyFont="1"/>
    <xf numFmtId="0" fontId="11" fillId="0" borderId="3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/>
    </xf>
    <xf numFmtId="169" fontId="11" fillId="4" borderId="3" xfId="7" applyFont="1" applyFill="1" applyBorder="1" applyAlignment="1" applyProtection="1">
      <alignment horizontal="center" vertical="center" wrapText="1"/>
      <protection locked="0"/>
    </xf>
    <xf numFmtId="168" fontId="11" fillId="11" borderId="45" xfId="7" applyNumberFormat="1" applyFont="1" applyFill="1" applyBorder="1" applyAlignment="1" applyProtection="1">
      <alignment horizontal="center" vertical="center"/>
    </xf>
    <xf numFmtId="169" fontId="14" fillId="12" borderId="38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39" fontId="11" fillId="0" borderId="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justify" vertical="center" wrapText="1"/>
    </xf>
    <xf numFmtId="39" fontId="10" fillId="0" borderId="3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2" fontId="11" fillId="7" borderId="6" xfId="0" applyNumberFormat="1" applyFont="1" applyFill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10" fontId="10" fillId="10" borderId="28" xfId="0" applyNumberFormat="1" applyFont="1" applyFill="1" applyBorder="1" applyAlignment="1">
      <alignment horizontal="center" vertical="center"/>
    </xf>
    <xf numFmtId="10" fontId="10" fillId="10" borderId="29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justify" vertical="center"/>
    </xf>
    <xf numFmtId="10" fontId="11" fillId="11" borderId="32" xfId="0" applyNumberFormat="1" applyFont="1" applyFill="1" applyBorder="1" applyAlignment="1">
      <alignment horizontal="center" vertical="center"/>
    </xf>
    <xf numFmtId="10" fontId="11" fillId="11" borderId="33" xfId="0" applyNumberFormat="1" applyFont="1" applyFill="1" applyBorder="1" applyAlignment="1">
      <alignment horizontal="center" vertical="center"/>
    </xf>
    <xf numFmtId="10" fontId="11" fillId="11" borderId="34" xfId="0" applyNumberFormat="1" applyFont="1" applyFill="1" applyBorder="1" applyAlignment="1">
      <alignment horizontal="center" vertical="center"/>
    </xf>
    <xf numFmtId="0" fontId="11" fillId="10" borderId="31" xfId="0" applyFont="1" applyFill="1" applyBorder="1" applyAlignment="1">
      <alignment horizontal="justify" vertical="center"/>
    </xf>
    <xf numFmtId="0" fontId="11" fillId="0" borderId="31" xfId="0" applyFont="1" applyBorder="1" applyAlignment="1">
      <alignment vertical="center"/>
    </xf>
    <xf numFmtId="10" fontId="11" fillId="11" borderId="35" xfId="0" applyNumberFormat="1" applyFont="1" applyFill="1" applyBorder="1" applyAlignment="1">
      <alignment horizontal="center" vertical="center"/>
    </xf>
    <xf numFmtId="10" fontId="11" fillId="11" borderId="36" xfId="0" applyNumberFormat="1" applyFont="1" applyFill="1" applyBorder="1" applyAlignment="1">
      <alignment horizontal="center" vertical="center"/>
    </xf>
    <xf numFmtId="10" fontId="10" fillId="10" borderId="37" xfId="0" applyNumberFormat="1" applyFont="1" applyFill="1" applyBorder="1" applyAlignment="1">
      <alignment horizontal="center" vertical="center"/>
    </xf>
    <xf numFmtId="10" fontId="10" fillId="10" borderId="32" xfId="0" applyNumberFormat="1" applyFont="1" applyFill="1" applyBorder="1" applyAlignment="1">
      <alignment horizontal="center" vertical="center"/>
    </xf>
    <xf numFmtId="10" fontId="10" fillId="10" borderId="38" xfId="0" applyNumberFormat="1" applyFont="1" applyFill="1" applyBorder="1" applyAlignment="1">
      <alignment horizontal="center" vertical="center"/>
    </xf>
    <xf numFmtId="10" fontId="11" fillId="11" borderId="38" xfId="0" applyNumberFormat="1" applyFont="1" applyFill="1" applyBorder="1" applyAlignment="1">
      <alignment horizontal="center" vertical="center"/>
    </xf>
    <xf numFmtId="10" fontId="10" fillId="10" borderId="39" xfId="0" applyNumberFormat="1" applyFont="1" applyFill="1" applyBorder="1" applyAlignment="1">
      <alignment horizontal="center" vertical="center" wrapText="1"/>
    </xf>
    <xf numFmtId="10" fontId="10" fillId="10" borderId="40" xfId="0" applyNumberFormat="1" applyFont="1" applyFill="1" applyBorder="1" applyAlignment="1">
      <alignment horizontal="center" vertical="center" wrapText="1"/>
    </xf>
    <xf numFmtId="10" fontId="10" fillId="10" borderId="41" xfId="0" applyNumberFormat="1" applyFont="1" applyFill="1" applyBorder="1" applyAlignment="1">
      <alignment horizontal="center" vertical="center" wrapText="1"/>
    </xf>
    <xf numFmtId="10" fontId="10" fillId="10" borderId="42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justify" vertical="center" wrapText="1"/>
    </xf>
    <xf numFmtId="0" fontId="22" fillId="0" borderId="3" xfId="0" applyFont="1" applyBorder="1" applyAlignment="1">
      <alignment horizontal="justify" vertical="center" wrapText="1"/>
    </xf>
    <xf numFmtId="0" fontId="10" fillId="7" borderId="43" xfId="0" applyFont="1" applyFill="1" applyBorder="1" applyAlignment="1">
      <alignment horizontal="right" vertical="center"/>
    </xf>
    <xf numFmtId="0" fontId="10" fillId="7" borderId="44" xfId="0" applyFont="1" applyFill="1" applyBorder="1" applyAlignment="1">
      <alignment horizontal="right" vertical="center"/>
    </xf>
    <xf numFmtId="10" fontId="11" fillId="0" borderId="32" xfId="0" applyNumberFormat="1" applyFont="1" applyBorder="1" applyAlignment="1">
      <alignment horizontal="center" vertical="center"/>
    </xf>
    <xf numFmtId="10" fontId="11" fillId="0" borderId="34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1" fillId="0" borderId="63" xfId="0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0" fontId="11" fillId="0" borderId="65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center" vertical="center" wrapText="1"/>
    </xf>
    <xf numFmtId="0" fontId="11" fillId="0" borderId="6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6" borderId="66" xfId="0" applyFont="1" applyFill="1" applyBorder="1" applyAlignment="1">
      <alignment horizontal="center"/>
    </xf>
    <xf numFmtId="0" fontId="11" fillId="6" borderId="19" xfId="0" applyFont="1" applyFill="1" applyBorder="1" applyAlignment="1">
      <alignment horizontal="center"/>
    </xf>
    <xf numFmtId="0" fontId="11" fillId="6" borderId="67" xfId="0" applyFont="1" applyFill="1" applyBorder="1" applyAlignment="1">
      <alignment horizont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5" borderId="6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 wrapText="1"/>
    </xf>
    <xf numFmtId="0" fontId="11" fillId="6" borderId="6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0" borderId="78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5" borderId="65" xfId="0" applyFont="1" applyFill="1" applyBorder="1" applyAlignment="1">
      <alignment horizontal="center" vertical="center"/>
    </xf>
    <xf numFmtId="0" fontId="11" fillId="5" borderId="63" xfId="0" applyFont="1" applyFill="1" applyBorder="1" applyAlignment="1">
      <alignment horizontal="center" vertical="center"/>
    </xf>
    <xf numFmtId="0" fontId="11" fillId="5" borderId="64" xfId="0" applyFont="1" applyFill="1" applyBorder="1" applyAlignment="1">
      <alignment horizontal="center" vertical="center"/>
    </xf>
    <xf numFmtId="0" fontId="11" fillId="5" borderId="66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79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1" fillId="0" borderId="69" xfId="0" applyFont="1" applyBorder="1" applyAlignment="1">
      <alignment horizontal="center" vertical="center" textRotation="255" wrapText="1"/>
    </xf>
    <xf numFmtId="0" fontId="11" fillId="0" borderId="70" xfId="0" applyFont="1" applyBorder="1" applyAlignment="1">
      <alignment horizontal="center" vertical="center" textRotation="255" wrapText="1"/>
    </xf>
    <xf numFmtId="0" fontId="11" fillId="0" borderId="71" xfId="0" applyFont="1" applyBorder="1" applyAlignment="1">
      <alignment horizontal="center" vertical="center" textRotation="255" wrapText="1"/>
    </xf>
    <xf numFmtId="0" fontId="10" fillId="5" borderId="72" xfId="0" applyFont="1" applyFill="1" applyBorder="1" applyAlignment="1">
      <alignment horizontal="center" vertical="center" wrapText="1"/>
    </xf>
    <xf numFmtId="0" fontId="10" fillId="5" borderId="4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right"/>
    </xf>
    <xf numFmtId="44" fontId="14" fillId="0" borderId="59" xfId="2" applyFont="1" applyBorder="1" applyAlignment="1">
      <alignment horizontal="center" vertical="center"/>
    </xf>
    <xf numFmtId="44" fontId="14" fillId="0" borderId="73" xfId="2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4" fontId="10" fillId="21" borderId="68" xfId="0" applyNumberFormat="1" applyFont="1" applyFill="1" applyBorder="1" applyAlignment="1">
      <alignment horizontal="center" vertical="center"/>
    </xf>
    <xf numFmtId="4" fontId="10" fillId="21" borderId="8" xfId="0" applyNumberFormat="1" applyFont="1" applyFill="1" applyBorder="1" applyAlignment="1">
      <alignment horizontal="center" vertical="center"/>
    </xf>
    <xf numFmtId="0" fontId="10" fillId="5" borderId="59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1" fillId="5" borderId="78" xfId="0" applyFont="1" applyFill="1" applyBorder="1" applyAlignment="1">
      <alignment horizontal="right" vertical="center"/>
    </xf>
    <xf numFmtId="0" fontId="11" fillId="5" borderId="68" xfId="0" applyFont="1" applyFill="1" applyBorder="1" applyAlignment="1">
      <alignment horizontal="right" vertical="center"/>
    </xf>
    <xf numFmtId="0" fontId="11" fillId="5" borderId="8" xfId="0" applyFont="1" applyFill="1" applyBorder="1" applyAlignment="1">
      <alignment horizontal="right" vertical="center"/>
    </xf>
    <xf numFmtId="0" fontId="11" fillId="0" borderId="6" xfId="0" applyFont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72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5" borderId="12" xfId="0" applyFont="1" applyFill="1" applyBorder="1" applyAlignment="1">
      <alignment horizontal="center" vertical="center"/>
    </xf>
    <xf numFmtId="0" fontId="10" fillId="5" borderId="6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7" borderId="56" xfId="0" applyFont="1" applyFill="1" applyBorder="1" applyAlignment="1">
      <alignment horizontal="center" vertical="center"/>
    </xf>
    <xf numFmtId="0" fontId="11" fillId="7" borderId="57" xfId="0" applyFont="1" applyFill="1" applyBorder="1" applyAlignment="1">
      <alignment horizontal="center" vertical="center"/>
    </xf>
    <xf numFmtId="0" fontId="11" fillId="7" borderId="58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1" fillId="18" borderId="59" xfId="0" applyFont="1" applyFill="1" applyBorder="1" applyAlignment="1">
      <alignment horizontal="center"/>
    </xf>
    <xf numFmtId="0" fontId="11" fillId="18" borderId="22" xfId="0" applyFont="1" applyFill="1" applyBorder="1" applyAlignment="1">
      <alignment horizontal="center"/>
    </xf>
    <xf numFmtId="0" fontId="11" fillId="18" borderId="23" xfId="0" applyFont="1" applyFill="1" applyBorder="1" applyAlignment="1">
      <alignment horizontal="center"/>
    </xf>
    <xf numFmtId="0" fontId="11" fillId="7" borderId="60" xfId="0" applyFont="1" applyFill="1" applyBorder="1" applyAlignment="1">
      <alignment horizontal="center" vertical="center"/>
    </xf>
    <xf numFmtId="0" fontId="11" fillId="7" borderId="61" xfId="0" applyFont="1" applyFill="1" applyBorder="1" applyAlignment="1">
      <alignment horizontal="center" vertical="center"/>
    </xf>
    <xf numFmtId="0" fontId="11" fillId="7" borderId="6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4" fillId="5" borderId="65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82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5" borderId="83" xfId="0" applyFont="1" applyFill="1" applyBorder="1" applyAlignment="1">
      <alignment horizontal="center" vertical="center" wrapText="1"/>
    </xf>
    <xf numFmtId="0" fontId="14" fillId="5" borderId="66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0" fontId="14" fillId="5" borderId="79" xfId="0" applyFont="1" applyFill="1" applyBorder="1" applyAlignment="1">
      <alignment horizontal="center" vertical="center" wrapText="1"/>
    </xf>
    <xf numFmtId="0" fontId="14" fillId="5" borderId="72" xfId="0" applyFont="1" applyFill="1" applyBorder="1" applyAlignment="1">
      <alignment horizontal="right" vertical="center"/>
    </xf>
    <xf numFmtId="0" fontId="14" fillId="5" borderId="6" xfId="0" applyFont="1" applyFill="1" applyBorder="1" applyAlignment="1">
      <alignment horizontal="right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68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0" fillId="5" borderId="72" xfId="0" applyFont="1" applyFill="1" applyBorder="1" applyAlignment="1">
      <alignment horizontal="center" vertical="center" shrinkToFit="1"/>
    </xf>
    <xf numFmtId="0" fontId="10" fillId="5" borderId="6" xfId="0" applyFont="1" applyFill="1" applyBorder="1" applyAlignment="1">
      <alignment horizontal="center" vertical="center" shrinkToFit="1"/>
    </xf>
    <xf numFmtId="4" fontId="14" fillId="9" borderId="61" xfId="0" applyNumberFormat="1" applyFont="1" applyFill="1" applyBorder="1" applyAlignment="1">
      <alignment horizontal="center" vertical="center"/>
    </xf>
    <xf numFmtId="4" fontId="14" fillId="9" borderId="62" xfId="0" applyNumberFormat="1" applyFont="1" applyFill="1" applyBorder="1" applyAlignment="1">
      <alignment horizontal="center" vertical="center"/>
    </xf>
    <xf numFmtId="0" fontId="10" fillId="5" borderId="72" xfId="0" applyFont="1" applyFill="1" applyBorder="1" applyAlignment="1">
      <alignment horizontal="right"/>
    </xf>
    <xf numFmtId="0" fontId="10" fillId="5" borderId="65" xfId="0" applyFont="1" applyFill="1" applyBorder="1" applyAlignment="1">
      <alignment horizontal="center" vertical="center" wrapText="1"/>
    </xf>
    <xf numFmtId="0" fontId="10" fillId="5" borderId="63" xfId="0" applyFont="1" applyFill="1" applyBorder="1" applyAlignment="1">
      <alignment horizontal="center" vertical="center" wrapText="1"/>
    </xf>
    <xf numFmtId="0" fontId="10" fillId="5" borderId="64" xfId="0" applyFont="1" applyFill="1" applyBorder="1" applyAlignment="1">
      <alignment horizontal="center" vertical="center" wrapText="1"/>
    </xf>
    <xf numFmtId="0" fontId="10" fillId="5" borderId="66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79" xfId="0" applyFont="1" applyFill="1" applyBorder="1" applyAlignment="1">
      <alignment horizontal="center" vertical="center" wrapText="1"/>
    </xf>
    <xf numFmtId="0" fontId="14" fillId="5" borderId="44" xfId="0" applyFont="1" applyFill="1" applyBorder="1" applyAlignment="1">
      <alignment horizontal="right" vertical="center"/>
    </xf>
    <xf numFmtId="0" fontId="14" fillId="5" borderId="11" xfId="0" applyFont="1" applyFill="1" applyBorder="1" applyAlignment="1">
      <alignment horizontal="right" vertical="center"/>
    </xf>
    <xf numFmtId="0" fontId="10" fillId="0" borderId="72" xfId="0" applyFont="1" applyBorder="1" applyAlignment="1">
      <alignment horizontal="center" vertical="center"/>
    </xf>
    <xf numFmtId="0" fontId="10" fillId="5" borderId="80" xfId="0" applyFont="1" applyFill="1" applyBorder="1" applyAlignment="1">
      <alignment horizontal="center" vertical="center" wrapText="1"/>
    </xf>
    <xf numFmtId="0" fontId="10" fillId="5" borderId="57" xfId="0" applyFont="1" applyFill="1" applyBorder="1" applyAlignment="1">
      <alignment horizontal="center" vertical="center" wrapText="1"/>
    </xf>
    <xf numFmtId="0" fontId="10" fillId="5" borderId="81" xfId="0" applyFont="1" applyFill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4" fillId="0" borderId="7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9" borderId="61" xfId="0" applyNumberFormat="1" applyFont="1" applyFill="1" applyBorder="1" applyAlignment="1">
      <alignment horizontal="center" vertical="center"/>
    </xf>
    <xf numFmtId="4" fontId="10" fillId="9" borderId="62" xfId="0" applyNumberFormat="1" applyFont="1" applyFill="1" applyBorder="1" applyAlignment="1">
      <alignment horizontal="center" vertical="center"/>
    </xf>
    <xf numFmtId="0" fontId="10" fillId="0" borderId="84" xfId="0" applyFont="1" applyBorder="1" applyAlignment="1">
      <alignment horizontal="right" vertical="center" wrapText="1"/>
    </xf>
    <xf numFmtId="0" fontId="10" fillId="0" borderId="61" xfId="0" applyFont="1" applyBorder="1" applyAlignment="1">
      <alignment horizontal="right" vertical="center" wrapText="1"/>
    </xf>
    <xf numFmtId="0" fontId="10" fillId="0" borderId="85" xfId="0" applyFont="1" applyBorder="1" applyAlignment="1">
      <alignment horizontal="right" vertical="center" wrapText="1"/>
    </xf>
    <xf numFmtId="0" fontId="11" fillId="0" borderId="72" xfId="0" applyFont="1" applyBorder="1" applyAlignment="1">
      <alignment horizontal="center" vertical="center"/>
    </xf>
    <xf numFmtId="0" fontId="10" fillId="22" borderId="72" xfId="0" applyFont="1" applyFill="1" applyBorder="1" applyAlignment="1">
      <alignment horizontal="left" vertical="center" wrapText="1"/>
    </xf>
    <xf numFmtId="0" fontId="10" fillId="22" borderId="6" xfId="0" applyFont="1" applyFill="1" applyBorder="1" applyAlignment="1">
      <alignment horizontal="left" vertical="center" wrapText="1"/>
    </xf>
    <xf numFmtId="0" fontId="10" fillId="22" borderId="10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textRotation="255" shrinkToFit="1"/>
    </xf>
    <xf numFmtId="0" fontId="14" fillId="0" borderId="4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 wrapText="1"/>
    </xf>
    <xf numFmtId="0" fontId="10" fillId="0" borderId="7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1" fillId="6" borderId="68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5" borderId="72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2" xfId="0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5" borderId="65" xfId="0" applyFont="1" applyFill="1" applyBorder="1" applyAlignment="1">
      <alignment horizontal="center" vertical="center"/>
    </xf>
    <xf numFmtId="0" fontId="10" fillId="5" borderId="64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11" fillId="5" borderId="72" xfId="0" applyFont="1" applyFill="1" applyBorder="1" applyAlignment="1">
      <alignment horizontal="right"/>
    </xf>
    <xf numFmtId="0" fontId="11" fillId="5" borderId="6" xfId="0" applyFont="1" applyFill="1" applyBorder="1" applyAlignment="1">
      <alignment horizontal="right"/>
    </xf>
    <xf numFmtId="0" fontId="10" fillId="5" borderId="72" xfId="0" applyFont="1" applyFill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10" fillId="5" borderId="44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4" fillId="0" borderId="0" xfId="4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" fontId="10" fillId="9" borderId="61" xfId="0" applyNumberFormat="1" applyFont="1" applyFill="1" applyBorder="1" applyAlignment="1">
      <alignment horizontal="center"/>
    </xf>
    <xf numFmtId="4" fontId="10" fillId="9" borderId="62" xfId="0" applyNumberFormat="1" applyFont="1" applyFill="1" applyBorder="1" applyAlignment="1">
      <alignment horizontal="center"/>
    </xf>
    <xf numFmtId="0" fontId="10" fillId="5" borderId="44" xfId="0" applyFont="1" applyFill="1" applyBorder="1" applyAlignment="1">
      <alignment horizontal="center" vertical="center" shrinkToFit="1"/>
    </xf>
    <xf numFmtId="0" fontId="10" fillId="5" borderId="11" xfId="0" applyFont="1" applyFill="1" applyBorder="1" applyAlignment="1">
      <alignment horizontal="center" vertical="center" shrinkToFit="1"/>
    </xf>
    <xf numFmtId="0" fontId="14" fillId="0" borderId="0" xfId="4" applyFont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10" fillId="0" borderId="83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1" fillId="0" borderId="78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0" fillId="0" borderId="65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0" fontId="10" fillId="0" borderId="77" xfId="0" applyFont="1" applyBorder="1" applyAlignment="1">
      <alignment horizontal="center"/>
    </xf>
    <xf numFmtId="4" fontId="10" fillId="9" borderId="68" xfId="0" applyNumberFormat="1" applyFont="1" applyFill="1" applyBorder="1" applyAlignment="1">
      <alignment horizontal="center" vertical="center"/>
    </xf>
    <xf numFmtId="4" fontId="10" fillId="9" borderId="46" xfId="0" applyNumberFormat="1" applyFont="1" applyFill="1" applyBorder="1" applyAlignment="1">
      <alignment horizontal="center" vertical="center"/>
    </xf>
    <xf numFmtId="0" fontId="11" fillId="0" borderId="54" xfId="0" applyFont="1" applyBorder="1" applyAlignment="1">
      <alignment horizontal="center"/>
    </xf>
    <xf numFmtId="0" fontId="11" fillId="0" borderId="65" xfId="0" applyFont="1" applyBorder="1" applyAlignment="1">
      <alignment horizontal="center"/>
    </xf>
    <xf numFmtId="0" fontId="11" fillId="0" borderId="77" xfId="0" applyFont="1" applyBorder="1" applyAlignment="1">
      <alignment horizontal="center"/>
    </xf>
    <xf numFmtId="0" fontId="11" fillId="0" borderId="72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/>
    </xf>
    <xf numFmtId="0" fontId="10" fillId="11" borderId="3" xfId="0" applyFont="1" applyFill="1" applyBorder="1" applyAlignment="1">
      <alignment horizontal="left" vertical="center" wrapText="1"/>
    </xf>
    <xf numFmtId="0" fontId="11" fillId="11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23" borderId="94" xfId="0" applyFont="1" applyFill="1" applyBorder="1" applyAlignment="1">
      <alignment horizontal="left" vertical="center" wrapText="1"/>
    </xf>
    <xf numFmtId="0" fontId="10" fillId="23" borderId="4" xfId="0" applyFont="1" applyFill="1" applyBorder="1" applyAlignment="1">
      <alignment horizontal="left" vertical="center" wrapText="1"/>
    </xf>
    <xf numFmtId="0" fontId="10" fillId="23" borderId="95" xfId="0" applyFont="1" applyFill="1" applyBorder="1" applyAlignment="1">
      <alignment horizontal="left" vertical="center" wrapText="1"/>
    </xf>
    <xf numFmtId="0" fontId="10" fillId="23" borderId="41" xfId="0" applyFont="1" applyFill="1" applyBorder="1" applyAlignment="1">
      <alignment horizontal="left" vertical="center" wrapText="1"/>
    </xf>
    <xf numFmtId="0" fontId="10" fillId="23" borderId="96" xfId="0" applyFont="1" applyFill="1" applyBorder="1" applyAlignment="1">
      <alignment horizontal="left" vertical="center" wrapText="1"/>
    </xf>
    <xf numFmtId="0" fontId="10" fillId="23" borderId="40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0" fontId="10" fillId="10" borderId="86" xfId="0" applyFont="1" applyFill="1" applyBorder="1" applyAlignment="1">
      <alignment horizontal="center" vertical="center"/>
    </xf>
    <xf numFmtId="0" fontId="10" fillId="10" borderId="8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89" xfId="0" applyFont="1" applyBorder="1" applyAlignment="1">
      <alignment horizontal="center" vertical="center" wrapText="1"/>
    </xf>
    <xf numFmtId="0" fontId="10" fillId="0" borderId="90" xfId="0" applyFont="1" applyBorder="1" applyAlignment="1">
      <alignment horizontal="center" vertical="center"/>
    </xf>
    <xf numFmtId="0" fontId="10" fillId="10" borderId="89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1" fillId="0" borderId="12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/>
    </xf>
    <xf numFmtId="0" fontId="10" fillId="13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justify" vertical="center"/>
    </xf>
    <xf numFmtId="0" fontId="11" fillId="0" borderId="90" xfId="0" applyFont="1" applyBorder="1" applyAlignment="1">
      <alignment horizontal="left" vertical="center" wrapText="1"/>
    </xf>
    <xf numFmtId="0" fontId="11" fillId="0" borderId="86" xfId="0" applyFont="1" applyBorder="1" applyAlignment="1">
      <alignment horizontal="left" vertical="center" wrapText="1"/>
    </xf>
    <xf numFmtId="0" fontId="11" fillId="0" borderId="89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center" vertical="center"/>
    </xf>
    <xf numFmtId="0" fontId="10" fillId="0" borderId="86" xfId="0" applyFont="1" applyBorder="1" applyAlignment="1">
      <alignment horizontal="center" vertical="center"/>
    </xf>
    <xf numFmtId="0" fontId="12" fillId="0" borderId="86" xfId="0" applyFont="1" applyBorder="1" applyAlignment="1">
      <alignment horizontal="center" vertical="center" wrapText="1"/>
    </xf>
    <xf numFmtId="0" fontId="10" fillId="3" borderId="86" xfId="0" applyFont="1" applyFill="1" applyBorder="1" applyAlignment="1">
      <alignment horizontal="center" vertical="center"/>
    </xf>
    <xf numFmtId="0" fontId="12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10" fillId="3" borderId="87" xfId="0" applyFont="1" applyFill="1" applyBorder="1" applyAlignment="1">
      <alignment horizontal="center" vertical="center"/>
    </xf>
    <xf numFmtId="4" fontId="8" fillId="14" borderId="87" xfId="0" applyNumberFormat="1" applyFont="1" applyFill="1" applyBorder="1" applyAlignment="1">
      <alignment horizontal="center" vertical="center"/>
    </xf>
    <xf numFmtId="0" fontId="10" fillId="17" borderId="6" xfId="0" applyFont="1" applyFill="1" applyBorder="1" applyAlignment="1">
      <alignment horizontal="center" vertical="center" wrapText="1"/>
    </xf>
    <xf numFmtId="0" fontId="11" fillId="5" borderId="72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5" borderId="46" xfId="0" applyFont="1" applyFill="1" applyBorder="1" applyAlignment="1">
      <alignment horizontal="center" vertical="center"/>
    </xf>
    <xf numFmtId="0" fontId="10" fillId="5" borderId="63" xfId="0" applyFont="1" applyFill="1" applyBorder="1" applyAlignment="1">
      <alignment horizontal="center" vertical="center"/>
    </xf>
    <xf numFmtId="0" fontId="10" fillId="5" borderId="82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5" borderId="83" xfId="0" applyFont="1" applyFill="1" applyBorder="1" applyAlignment="1">
      <alignment horizontal="center" vertical="center"/>
    </xf>
    <xf numFmtId="0" fontId="10" fillId="5" borderId="66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0" fillId="5" borderId="79" xfId="0" applyFont="1" applyFill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10" fontId="11" fillId="0" borderId="54" xfId="0" applyNumberFormat="1" applyFont="1" applyBorder="1" applyAlignment="1">
      <alignment horizontal="center"/>
    </xf>
    <xf numFmtId="10" fontId="11" fillId="0" borderId="91" xfId="0" applyNumberFormat="1" applyFont="1" applyBorder="1" applyAlignment="1">
      <alignment horizontal="center"/>
    </xf>
    <xf numFmtId="0" fontId="10" fillId="5" borderId="72" xfId="0" applyFont="1" applyFill="1" applyBorder="1" applyAlignment="1">
      <alignment horizontal="center" vertical="center" textRotation="255" wrapText="1"/>
    </xf>
    <xf numFmtId="0" fontId="10" fillId="5" borderId="6" xfId="0" applyFont="1" applyFill="1" applyBorder="1" applyAlignment="1">
      <alignment horizontal="center" vertical="center" textRotation="255" wrapText="1"/>
    </xf>
    <xf numFmtId="166" fontId="10" fillId="21" borderId="6" xfId="0" applyNumberFormat="1" applyFont="1" applyFill="1" applyBorder="1" applyAlignment="1">
      <alignment horizontal="center" vertical="center"/>
    </xf>
    <xf numFmtId="166" fontId="10" fillId="21" borderId="10" xfId="0" applyNumberFormat="1" applyFont="1" applyFill="1" applyBorder="1" applyAlignment="1">
      <alignment horizontal="center" vertical="center"/>
    </xf>
    <xf numFmtId="0" fontId="10" fillId="5" borderId="72" xfId="0" applyFont="1" applyFill="1" applyBorder="1" applyAlignment="1">
      <alignment horizontal="center" vertical="center"/>
    </xf>
    <xf numFmtId="0" fontId="11" fillId="0" borderId="72" xfId="0" applyFont="1" applyBorder="1" applyAlignment="1">
      <alignment horizontal="justify" vertical="center" wrapText="1"/>
    </xf>
    <xf numFmtId="0" fontId="11" fillId="0" borderId="44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18" borderId="78" xfId="0" applyFont="1" applyFill="1" applyBorder="1" applyAlignment="1">
      <alignment horizontal="center" vertical="center"/>
    </xf>
    <xf numFmtId="0" fontId="10" fillId="18" borderId="68" xfId="0" applyFont="1" applyFill="1" applyBorder="1" applyAlignment="1">
      <alignment horizontal="center" vertical="center"/>
    </xf>
    <xf numFmtId="0" fontId="10" fillId="18" borderId="8" xfId="0" applyFont="1" applyFill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15" borderId="72" xfId="0" applyFont="1" applyFill="1" applyBorder="1" applyAlignment="1">
      <alignment horizontal="center" vertical="center"/>
    </xf>
    <xf numFmtId="0" fontId="10" fillId="15" borderId="6" xfId="0" applyFont="1" applyFill="1" applyBorder="1" applyAlignment="1">
      <alignment horizontal="center" vertical="center"/>
    </xf>
    <xf numFmtId="0" fontId="10" fillId="15" borderId="12" xfId="0" applyFont="1" applyFill="1" applyBorder="1" applyAlignment="1">
      <alignment horizontal="center" vertical="center"/>
    </xf>
    <xf numFmtId="0" fontId="10" fillId="15" borderId="10" xfId="0" applyFont="1" applyFill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74" xfId="0" applyFont="1" applyBorder="1" applyAlignment="1">
      <alignment horizontal="justify" vertical="center" wrapText="1"/>
    </xf>
    <xf numFmtId="0" fontId="11" fillId="0" borderId="75" xfId="0" applyFont="1" applyBorder="1" applyAlignment="1">
      <alignment horizontal="justify" vertical="center" wrapText="1"/>
    </xf>
    <xf numFmtId="0" fontId="11" fillId="0" borderId="76" xfId="0" applyFont="1" applyBorder="1" applyAlignment="1">
      <alignment horizontal="justify" vertical="center" wrapText="1"/>
    </xf>
    <xf numFmtId="0" fontId="11" fillId="0" borderId="82" xfId="0" applyFont="1" applyBorder="1" applyAlignment="1">
      <alignment horizontal="justify" vertical="center" wrapText="1"/>
    </xf>
    <xf numFmtId="0" fontId="11" fillId="0" borderId="92" xfId="0" applyFont="1" applyBorder="1" applyAlignment="1">
      <alignment horizontal="justify" vertical="center" wrapText="1"/>
    </xf>
    <xf numFmtId="0" fontId="11" fillId="0" borderId="93" xfId="0" applyFont="1" applyBorder="1" applyAlignment="1">
      <alignment horizontal="justify" vertical="center" wrapText="1"/>
    </xf>
    <xf numFmtId="0" fontId="11" fillId="0" borderId="54" xfId="0" applyFont="1" applyBorder="1" applyAlignment="1">
      <alignment horizontal="justify" vertical="center" wrapText="1"/>
    </xf>
    <xf numFmtId="0" fontId="11" fillId="0" borderId="91" xfId="0" applyFont="1" applyBorder="1" applyAlignment="1">
      <alignment horizontal="justify" vertical="center" wrapText="1"/>
    </xf>
    <xf numFmtId="0" fontId="11" fillId="0" borderId="78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1">
    <cellStyle name="Célula de Verificação" xfId="1" builtinId="23" customBuiltin="1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ta" xfId="5" builtinId="10" customBuiltin="1"/>
    <cellStyle name="Observação" xfId="6" xr:uid="{00000000-0005-0000-0000-000006000000}"/>
    <cellStyle name="Título 5" xfId="8" xr:uid="{00000000-0005-0000-0000-000007000000}"/>
    <cellStyle name="Título 6" xfId="9" xr:uid="{00000000-0005-0000-0000-000008000000}"/>
    <cellStyle name="Verificar Célula" xfId="10" xr:uid="{00000000-0005-0000-0000-000009000000}"/>
    <cellStyle name="Vírgula" xfId="7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4B1F6F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420E"/>
      <rgbColor rgb="009966CC"/>
      <rgbColor rgb="00969696"/>
      <rgbColor rgb="00003366"/>
      <rgbColor rgb="00339966"/>
      <rgbColor rgb="00003300"/>
      <rgbColor rgb="00314004"/>
      <rgbColor rgb="00993300"/>
      <rgbColor rgb="00993366"/>
      <rgbColor rgb="00333399"/>
      <rgbColor rgb="00333333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01.tre-pi.gov.br\COAAD\COAAD%202022\TERMO%20DE%20REFER&#202;NCIA%20E%20PROJETO%20B&#193;SICO\26-2022%20-%20%20Macrocontrata&#231;&#245;es%20-%202022%20-%20atualizada%20em%2023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ços agregados"/>
      <sheetName val="Mão de obra"/>
      <sheetName val="Encargos Sociais"/>
      <sheetName val="Custos exclusivos motoboy"/>
      <sheetName val="Custos relório de ponto"/>
      <sheetName val="Especifidades gerais"/>
      <sheetName val="Especificidades e atribuições 1"/>
      <sheetName val="Especificidades e atribuições 2"/>
      <sheetName val="Especificidades e atribuições 3"/>
      <sheetName val="Horas extras"/>
      <sheetName val="Diárias "/>
      <sheetName val="Uniformes"/>
      <sheetName val=" EPI's "/>
      <sheetName val="Combustível motoboy"/>
      <sheetName val="Custos exames e laudos"/>
      <sheetName val="Plano de saúde"/>
      <sheetName val="Conta vinculada - cálculo"/>
      <sheetName val="Pesquisa de preços"/>
      <sheetName val="Check list - motos"/>
      <sheetName val="Relação Mensal dos Agentes"/>
      <sheetName val="Dados Bancários"/>
      <sheetName val="Relatório km pecorrida"/>
      <sheetName val="Autorização"/>
      <sheetName val="MO outros contratos"/>
      <sheetName val="Destribuição - M.O"/>
    </sheetNames>
    <sheetDataSet>
      <sheetData sheetId="0"/>
      <sheetData sheetId="1">
        <row r="9">
          <cell r="K9">
            <v>0.06</v>
          </cell>
        </row>
        <row r="14">
          <cell r="I14">
            <v>0.30409999999999998</v>
          </cell>
        </row>
        <row r="48">
          <cell r="C48">
            <v>169</v>
          </cell>
        </row>
      </sheetData>
      <sheetData sheetId="2">
        <row r="6">
          <cell r="C6" t="str">
            <v>Sem desoneração</v>
          </cell>
          <cell r="D6" t="str">
            <v>Com desoneração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96">
          <cell r="D196">
            <v>46.67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A1:X164"/>
  <sheetViews>
    <sheetView showGridLines="0" tabSelected="1" view="pageBreakPreview" topLeftCell="B1" zoomScale="95" zoomScaleNormal="118" zoomScaleSheetLayoutView="95" workbookViewId="0">
      <selection activeCell="I9" sqref="I9"/>
    </sheetView>
  </sheetViews>
  <sheetFormatPr defaultRowHeight="15.75" x14ac:dyDescent="0.25"/>
  <cols>
    <col min="1" max="1" width="55.140625" style="3" bestFit="1" customWidth="1"/>
    <col min="2" max="2" width="4.140625" style="3" bestFit="1" customWidth="1"/>
    <col min="3" max="3" width="17.7109375" style="3" customWidth="1"/>
    <col min="4" max="4" width="10.5703125" style="3" bestFit="1" customWidth="1"/>
    <col min="5" max="5" width="19.85546875" style="3" bestFit="1" customWidth="1"/>
    <col min="6" max="6" width="12.5703125" style="3" customWidth="1"/>
    <col min="7" max="7" width="14.7109375" style="3" customWidth="1"/>
    <col min="8" max="8" width="20.5703125" style="3" customWidth="1"/>
    <col min="9" max="9" width="23.140625" style="3" bestFit="1" customWidth="1"/>
    <col min="10" max="10" width="18.28515625" style="3" bestFit="1" customWidth="1"/>
    <col min="11" max="11" width="15.140625" style="3" bestFit="1" customWidth="1"/>
    <col min="12" max="12" width="12.28515625" style="3" customWidth="1"/>
    <col min="13" max="13" width="12.140625" style="3" bestFit="1" customWidth="1"/>
    <col min="14" max="14" width="15.42578125" style="3" customWidth="1"/>
    <col min="15" max="15" width="11.85546875" style="4" customWidth="1"/>
    <col min="16" max="16" width="11.5703125" style="3" customWidth="1"/>
    <col min="17" max="17" width="11.42578125" style="3" customWidth="1"/>
    <col min="18" max="16384" width="9.140625" style="3"/>
  </cols>
  <sheetData>
    <row r="1" spans="1:15" ht="15" customHeight="1" x14ac:dyDescent="0.25">
      <c r="A1" s="209" t="s">
        <v>257</v>
      </c>
      <c r="B1" s="210"/>
      <c r="C1" s="210"/>
      <c r="D1" s="210"/>
      <c r="E1" s="210"/>
      <c r="F1" s="210"/>
      <c r="G1" s="210"/>
      <c r="H1" s="210"/>
      <c r="I1" s="211"/>
    </row>
    <row r="2" spans="1:15" ht="12.95" customHeight="1" x14ac:dyDescent="0.25">
      <c r="A2" s="212" t="s">
        <v>81</v>
      </c>
      <c r="B2" s="213"/>
      <c r="C2" s="213"/>
      <c r="D2" s="213"/>
      <c r="E2" s="213"/>
      <c r="F2" s="213"/>
      <c r="G2" s="213"/>
      <c r="H2" s="213"/>
      <c r="I2" s="214"/>
    </row>
    <row r="3" spans="1:15" ht="12.95" customHeight="1" x14ac:dyDescent="0.25">
      <c r="A3" s="212" t="s">
        <v>204</v>
      </c>
      <c r="B3" s="213"/>
      <c r="C3" s="213"/>
      <c r="D3" s="213"/>
      <c r="E3" s="213"/>
      <c r="F3" s="213"/>
      <c r="G3" s="213"/>
      <c r="H3" s="213"/>
      <c r="I3" s="214"/>
    </row>
    <row r="4" spans="1:15" ht="12.75" customHeight="1" x14ac:dyDescent="0.25">
      <c r="A4" s="212" t="s">
        <v>217</v>
      </c>
      <c r="B4" s="213"/>
      <c r="C4" s="213"/>
      <c r="D4" s="213"/>
      <c r="E4" s="213"/>
      <c r="F4" s="213"/>
      <c r="G4" s="213"/>
      <c r="H4" s="213"/>
      <c r="I4" s="214"/>
    </row>
    <row r="5" spans="1:15" ht="12.75" customHeight="1" thickBot="1" x14ac:dyDescent="0.3">
      <c r="A5" s="218" t="s">
        <v>218</v>
      </c>
      <c r="B5" s="219"/>
      <c r="C5" s="219"/>
      <c r="D5" s="219"/>
      <c r="E5" s="219"/>
      <c r="F5" s="219"/>
      <c r="G5" s="219"/>
      <c r="H5" s="219"/>
      <c r="I5" s="220"/>
    </row>
    <row r="6" spans="1:15" ht="31.5" customHeight="1" thickBot="1" x14ac:dyDescent="0.3">
      <c r="A6" s="149" t="s">
        <v>207</v>
      </c>
      <c r="B6" s="224" t="s">
        <v>287</v>
      </c>
      <c r="C6" s="225"/>
      <c r="D6" s="225"/>
      <c r="E6" s="225"/>
      <c r="F6" s="226"/>
      <c r="G6" s="227" t="s">
        <v>215</v>
      </c>
      <c r="H6" s="228"/>
      <c r="I6" s="5" t="s">
        <v>211</v>
      </c>
    </row>
    <row r="7" spans="1:15" ht="12.95" customHeight="1" thickBot="1" x14ac:dyDescent="0.3">
      <c r="A7" s="150" t="s">
        <v>208</v>
      </c>
      <c r="B7" s="232" t="s">
        <v>288</v>
      </c>
      <c r="C7" s="233"/>
      <c r="D7" s="233"/>
      <c r="E7" s="233"/>
      <c r="F7" s="234"/>
      <c r="G7" s="229"/>
      <c r="H7" s="230"/>
      <c r="I7" s="231"/>
    </row>
    <row r="8" spans="1:15" ht="3" customHeight="1" x14ac:dyDescent="0.25">
      <c r="A8" s="160"/>
      <c r="B8" s="161"/>
      <c r="C8" s="161"/>
      <c r="D8" s="161"/>
      <c r="E8" s="161"/>
      <c r="F8" s="161"/>
      <c r="G8" s="161"/>
      <c r="H8" s="161"/>
      <c r="I8" s="162"/>
    </row>
    <row r="9" spans="1:15" ht="15" customHeight="1" x14ac:dyDescent="0.25">
      <c r="A9" s="172" t="s">
        <v>203</v>
      </c>
      <c r="B9" s="173"/>
      <c r="C9" s="6">
        <v>1351.36</v>
      </c>
      <c r="D9" s="7">
        <f>C9/30</f>
        <v>45.05</v>
      </c>
      <c r="E9" s="215" t="s">
        <v>82</v>
      </c>
      <c r="F9" s="216"/>
      <c r="G9" s="216"/>
      <c r="H9" s="217"/>
      <c r="I9" s="1">
        <f>SUM(I10:I18)</f>
        <v>3600166.91</v>
      </c>
      <c r="J9" s="8"/>
      <c r="K9" s="8"/>
    </row>
    <row r="10" spans="1:15" ht="15" customHeight="1" x14ac:dyDescent="0.25">
      <c r="A10" s="172" t="s">
        <v>18</v>
      </c>
      <c r="B10" s="173"/>
      <c r="C10" s="6">
        <v>1756.74</v>
      </c>
      <c r="D10" s="6">
        <f>C10/30</f>
        <v>58.56</v>
      </c>
      <c r="E10" s="153" t="s">
        <v>83</v>
      </c>
      <c r="F10" s="154"/>
      <c r="G10" s="154"/>
      <c r="H10" s="155"/>
      <c r="I10" s="9">
        <f>E49</f>
        <v>2683097.46</v>
      </c>
      <c r="L10" s="8"/>
    </row>
    <row r="11" spans="1:15" ht="15" customHeight="1" x14ac:dyDescent="0.25">
      <c r="A11" s="172" t="s">
        <v>19</v>
      </c>
      <c r="B11" s="173"/>
      <c r="C11" s="6">
        <v>3876.55</v>
      </c>
      <c r="D11" s="6">
        <f>C11/30</f>
        <v>129.22</v>
      </c>
      <c r="E11" s="153" t="s">
        <v>84</v>
      </c>
      <c r="F11" s="154"/>
      <c r="G11" s="154"/>
      <c r="H11" s="155"/>
      <c r="I11" s="9">
        <f>E53</f>
        <v>307323.12</v>
      </c>
      <c r="J11" s="10"/>
    </row>
    <row r="12" spans="1:15" ht="15" customHeight="1" x14ac:dyDescent="0.25">
      <c r="A12" s="172" t="s">
        <v>85</v>
      </c>
      <c r="B12" s="173"/>
      <c r="C12" s="6">
        <v>5</v>
      </c>
      <c r="D12" s="6"/>
      <c r="E12" s="153" t="s">
        <v>28</v>
      </c>
      <c r="F12" s="154"/>
      <c r="G12" s="154"/>
      <c r="H12" s="155"/>
      <c r="I12" s="9">
        <f>H75+G75</f>
        <v>134292.88</v>
      </c>
    </row>
    <row r="13" spans="1:15" ht="15" customHeight="1" x14ac:dyDescent="0.25">
      <c r="A13" s="11"/>
      <c r="B13" s="12"/>
      <c r="C13" s="12"/>
      <c r="D13" s="12"/>
      <c r="E13" s="221" t="s">
        <v>202</v>
      </c>
      <c r="F13" s="222"/>
      <c r="G13" s="222"/>
      <c r="H13" s="223"/>
      <c r="I13" s="9">
        <v>12000</v>
      </c>
    </row>
    <row r="14" spans="1:15" ht="15" customHeight="1" x14ac:dyDescent="0.25">
      <c r="A14" s="11"/>
      <c r="B14" s="13"/>
      <c r="C14" s="12"/>
      <c r="D14" s="12"/>
      <c r="E14" s="153" t="s">
        <v>29</v>
      </c>
      <c r="F14" s="154"/>
      <c r="G14" s="154"/>
      <c r="H14" s="155"/>
      <c r="I14" s="9">
        <f>E88</f>
        <v>81002.02</v>
      </c>
      <c r="L14" s="8"/>
      <c r="N14" s="8"/>
      <c r="O14" s="14"/>
    </row>
    <row r="15" spans="1:15" ht="15" customHeight="1" x14ac:dyDescent="0.25">
      <c r="A15" s="15"/>
      <c r="B15" s="16"/>
      <c r="C15" s="16"/>
      <c r="D15" s="16"/>
      <c r="E15" s="153" t="s">
        <v>137</v>
      </c>
      <c r="F15" s="154"/>
      <c r="G15" s="154"/>
      <c r="H15" s="155"/>
      <c r="I15" s="9">
        <f>E99</f>
        <v>74803.8</v>
      </c>
      <c r="L15" s="17"/>
      <c r="N15" s="17"/>
      <c r="O15" s="18"/>
    </row>
    <row r="16" spans="1:15" ht="15" customHeight="1" x14ac:dyDescent="0.25">
      <c r="A16" s="172" t="s">
        <v>136</v>
      </c>
      <c r="B16" s="173"/>
      <c r="C16" s="6">
        <v>412.05</v>
      </c>
      <c r="D16" s="6">
        <f>C16/22</f>
        <v>18.73</v>
      </c>
      <c r="E16" s="153" t="s">
        <v>139</v>
      </c>
      <c r="F16" s="154"/>
      <c r="G16" s="154"/>
      <c r="H16" s="155"/>
      <c r="I16" s="9">
        <f>E118</f>
        <v>261834.9</v>
      </c>
      <c r="L16" s="17"/>
      <c r="N16" s="17"/>
      <c r="O16" s="18"/>
    </row>
    <row r="17" spans="1:15" ht="15" customHeight="1" x14ac:dyDescent="0.25">
      <c r="A17" s="172" t="s">
        <v>205</v>
      </c>
      <c r="B17" s="173"/>
      <c r="C17" s="6">
        <v>231.62</v>
      </c>
      <c r="D17" s="6">
        <f>C17/30</f>
        <v>7.72</v>
      </c>
      <c r="E17" s="153" t="s">
        <v>140</v>
      </c>
      <c r="F17" s="154"/>
      <c r="G17" s="154"/>
      <c r="H17" s="155"/>
      <c r="I17" s="9">
        <f>E127</f>
        <v>16799.7</v>
      </c>
      <c r="N17" s="17"/>
    </row>
    <row r="18" spans="1:15" ht="15" customHeight="1" x14ac:dyDescent="0.25">
      <c r="A18" s="199" t="s">
        <v>193</v>
      </c>
      <c r="B18" s="199"/>
      <c r="C18" s="192">
        <f>'Conta vinculada'!E18</f>
        <v>211147.6</v>
      </c>
      <c r="D18" s="193"/>
      <c r="E18" s="153" t="s">
        <v>17</v>
      </c>
      <c r="F18" s="154"/>
      <c r="G18" s="154"/>
      <c r="H18" s="155"/>
      <c r="I18" s="9">
        <f>I131</f>
        <v>29013.03</v>
      </c>
      <c r="N18" s="17"/>
    </row>
    <row r="19" spans="1:15" ht="2.4500000000000002" customHeight="1" x14ac:dyDescent="0.25">
      <c r="A19" s="165"/>
      <c r="B19" s="166"/>
      <c r="C19" s="166"/>
      <c r="D19" s="166"/>
      <c r="E19" s="166"/>
      <c r="F19" s="166"/>
      <c r="G19" s="166"/>
      <c r="H19" s="166"/>
      <c r="I19" s="167"/>
    </row>
    <row r="20" spans="1:15" ht="21" customHeight="1" x14ac:dyDescent="0.25">
      <c r="A20" s="174" t="s">
        <v>86</v>
      </c>
      <c r="B20" s="175"/>
      <c r="C20" s="175"/>
      <c r="D20" s="176"/>
      <c r="E20" s="169" t="s">
        <v>13</v>
      </c>
      <c r="F20" s="170"/>
      <c r="G20" s="170"/>
      <c r="H20" s="171"/>
      <c r="I20" s="20" t="s">
        <v>41</v>
      </c>
    </row>
    <row r="21" spans="1:15" ht="12.75" customHeight="1" x14ac:dyDescent="0.25">
      <c r="A21" s="177"/>
      <c r="B21" s="178"/>
      <c r="C21" s="178"/>
      <c r="D21" s="179"/>
      <c r="E21" s="21" t="s">
        <v>195</v>
      </c>
      <c r="F21" s="21" t="s">
        <v>196</v>
      </c>
      <c r="G21" s="21" t="s">
        <v>197</v>
      </c>
      <c r="H21" s="22" t="s">
        <v>198</v>
      </c>
      <c r="I21" s="23" t="s">
        <v>89</v>
      </c>
    </row>
    <row r="22" spans="1:15" ht="14.25" customHeight="1" x14ac:dyDescent="0.25">
      <c r="A22" s="196" t="s">
        <v>200</v>
      </c>
      <c r="B22" s="197"/>
      <c r="C22" s="197"/>
      <c r="D22" s="198"/>
      <c r="E22" s="24">
        <v>30</v>
      </c>
      <c r="F22" s="24">
        <v>30</v>
      </c>
      <c r="G22" s="24">
        <v>30</v>
      </c>
      <c r="H22" s="24">
        <v>30</v>
      </c>
      <c r="I22" s="25">
        <v>30</v>
      </c>
      <c r="M22" s="8"/>
      <c r="N22" s="17"/>
    </row>
    <row r="23" spans="1:15" ht="14.25" customHeight="1" x14ac:dyDescent="0.25">
      <c r="A23" s="156" t="s">
        <v>20</v>
      </c>
      <c r="B23" s="157"/>
      <c r="C23" s="168" t="s">
        <v>21</v>
      </c>
      <c r="D23" s="168"/>
      <c r="E23" s="27">
        <v>5</v>
      </c>
      <c r="F23" s="27">
        <v>22</v>
      </c>
      <c r="G23" s="27">
        <v>69</v>
      </c>
      <c r="H23" s="27">
        <v>357</v>
      </c>
      <c r="I23" s="28">
        <v>1</v>
      </c>
      <c r="M23" s="8"/>
      <c r="N23" s="17"/>
    </row>
    <row r="24" spans="1:15" s="12" customFormat="1" ht="12" customHeight="1" x14ac:dyDescent="0.25">
      <c r="A24" s="158"/>
      <c r="B24" s="159"/>
      <c r="C24" s="203" t="s">
        <v>22</v>
      </c>
      <c r="D24" s="204"/>
      <c r="E24" s="27">
        <v>5</v>
      </c>
      <c r="F24" s="27">
        <v>22</v>
      </c>
      <c r="G24" s="27">
        <v>69</v>
      </c>
      <c r="H24" s="27">
        <v>0</v>
      </c>
      <c r="I24" s="28">
        <v>1</v>
      </c>
      <c r="O24" s="4"/>
    </row>
    <row r="25" spans="1:15" ht="15" customHeight="1" x14ac:dyDescent="0.25">
      <c r="A25" s="184" t="s">
        <v>129</v>
      </c>
      <c r="B25" s="168" t="s">
        <v>90</v>
      </c>
      <c r="C25" s="168"/>
      <c r="D25" s="168"/>
      <c r="E25" s="29">
        <f>C10</f>
        <v>1756.74</v>
      </c>
      <c r="F25" s="29">
        <f>C10</f>
        <v>1756.74</v>
      </c>
      <c r="G25" s="29">
        <f>C10</f>
        <v>1756.74</v>
      </c>
      <c r="H25" s="29">
        <f>C10</f>
        <v>1756.74</v>
      </c>
      <c r="I25" s="30">
        <f>C11</f>
        <v>3876.55</v>
      </c>
    </row>
    <row r="26" spans="1:15" ht="17.25" customHeight="1" x14ac:dyDescent="0.25">
      <c r="A26" s="184"/>
      <c r="B26" s="163" t="s">
        <v>148</v>
      </c>
      <c r="C26" s="164"/>
      <c r="D26" s="31">
        <f>IF(I6="Sem desoneração",'Encargos Sociais'!C33,'Encargos Sociais'!D33)</f>
        <v>0.67959999999999998</v>
      </c>
      <c r="E26" s="32">
        <f>E25*$D$26</f>
        <v>1193.8800000000001</v>
      </c>
      <c r="F26" s="32">
        <f>F25*$D$26</f>
        <v>1193.8800000000001</v>
      </c>
      <c r="G26" s="32">
        <f>G25*$D$26</f>
        <v>1193.8800000000001</v>
      </c>
      <c r="H26" s="32">
        <f>H25*$D$26</f>
        <v>1193.8800000000001</v>
      </c>
      <c r="I26" s="33">
        <f>I25*$D$26</f>
        <v>2634.5</v>
      </c>
      <c r="L26" s="8"/>
      <c r="M26" s="34"/>
      <c r="N26" s="8"/>
    </row>
    <row r="27" spans="1:15" ht="15" customHeight="1" x14ac:dyDescent="0.25">
      <c r="A27" s="184"/>
      <c r="B27" s="200" t="s">
        <v>33</v>
      </c>
      <c r="C27" s="200"/>
      <c r="D27" s="200"/>
      <c r="E27" s="36">
        <f>SUM(E25:E26)</f>
        <v>2950.62</v>
      </c>
      <c r="F27" s="36">
        <f>SUM(F25:F26)</f>
        <v>2950.62</v>
      </c>
      <c r="G27" s="36">
        <f>SUM(G25:G26)</f>
        <v>2950.62</v>
      </c>
      <c r="H27" s="36">
        <f>SUM(H25:H26)</f>
        <v>2950.62</v>
      </c>
      <c r="I27" s="37">
        <f>SUM(I25:I26)</f>
        <v>6511.05</v>
      </c>
    </row>
    <row r="28" spans="1:15" ht="3.6" customHeight="1" x14ac:dyDescent="0.25">
      <c r="A28" s="184"/>
      <c r="B28" s="201"/>
      <c r="C28" s="201"/>
      <c r="D28" s="201"/>
      <c r="E28" s="201"/>
      <c r="F28" s="201"/>
      <c r="G28" s="201"/>
      <c r="H28" s="201"/>
      <c r="I28" s="202"/>
    </row>
    <row r="29" spans="1:15" ht="15" customHeight="1" x14ac:dyDescent="0.25">
      <c r="A29" s="184"/>
      <c r="B29" s="205" t="s">
        <v>91</v>
      </c>
      <c r="C29" s="205"/>
      <c r="D29" s="205"/>
      <c r="E29" s="29">
        <f>$C$16</f>
        <v>412.05</v>
      </c>
      <c r="F29" s="29">
        <f>$C$16</f>
        <v>412.05</v>
      </c>
      <c r="G29" s="29">
        <f>$C$16</f>
        <v>412.05</v>
      </c>
      <c r="H29" s="29">
        <f>$C$16</f>
        <v>412.05</v>
      </c>
      <c r="I29" s="30">
        <f>$C$16</f>
        <v>412.05</v>
      </c>
    </row>
    <row r="30" spans="1:15" ht="15" customHeight="1" x14ac:dyDescent="0.25">
      <c r="A30" s="184"/>
      <c r="B30" s="205" t="s">
        <v>76</v>
      </c>
      <c r="C30" s="205"/>
      <c r="D30" s="205"/>
      <c r="E30" s="29">
        <f>MAX(0,$C$12*2*26-0.06*MIN($C$10,$E$25))</f>
        <v>154.6</v>
      </c>
      <c r="F30" s="29">
        <f>MAX(0,$C$12*2*26-0.06*MIN($C$10,$E$25))</f>
        <v>154.6</v>
      </c>
      <c r="G30" s="29">
        <v>0</v>
      </c>
      <c r="H30" s="29">
        <v>0</v>
      </c>
      <c r="I30" s="30">
        <f>MAX(0,$C$12*2*22-0.06*MIN($C$11,$C$11))</f>
        <v>0</v>
      </c>
    </row>
    <row r="31" spans="1:15" ht="15" customHeight="1" x14ac:dyDescent="0.25">
      <c r="A31" s="184"/>
      <c r="B31" s="205" t="s">
        <v>92</v>
      </c>
      <c r="C31" s="205"/>
      <c r="D31" s="205"/>
      <c r="E31" s="40">
        <f>($C$9*26*0.0060406)/12*1.0038</f>
        <v>17.75</v>
      </c>
      <c r="F31" s="40">
        <f>($C$9*26*0.0060406)/12*1.0038</f>
        <v>17.75</v>
      </c>
      <c r="G31" s="40">
        <f>($C$9*26*0.0060406)/12*1.0038</f>
        <v>17.75</v>
      </c>
      <c r="H31" s="40">
        <f>($C$9*26*0.0060406)/12*1.0038</f>
        <v>17.75</v>
      </c>
      <c r="I31" s="41">
        <f>($C$9*26*0.0060406)/12*1.0038</f>
        <v>17.75</v>
      </c>
    </row>
    <row r="32" spans="1:15" ht="15" customHeight="1" x14ac:dyDescent="0.25">
      <c r="A32" s="184"/>
      <c r="B32" s="200" t="s">
        <v>34</v>
      </c>
      <c r="C32" s="200"/>
      <c r="D32" s="200"/>
      <c r="E32" s="36">
        <f>SUM(E29:E31)</f>
        <v>584.4</v>
      </c>
      <c r="F32" s="36">
        <f>SUM(F29:F31)</f>
        <v>584.4</v>
      </c>
      <c r="G32" s="36">
        <f>SUM(G29:G31)</f>
        <v>429.8</v>
      </c>
      <c r="H32" s="36">
        <f>SUM(H29:H31)</f>
        <v>429.8</v>
      </c>
      <c r="I32" s="37">
        <f>SUM(I29:I31)</f>
        <v>429.8</v>
      </c>
    </row>
    <row r="33" spans="1:15" ht="3.6" customHeight="1" x14ac:dyDescent="0.25">
      <c r="A33" s="184"/>
      <c r="B33" s="166"/>
      <c r="C33" s="166"/>
      <c r="D33" s="166"/>
      <c r="E33" s="166"/>
      <c r="F33" s="166"/>
      <c r="G33" s="166"/>
      <c r="H33" s="166"/>
      <c r="I33" s="167"/>
    </row>
    <row r="34" spans="1:15" ht="15" customHeight="1" x14ac:dyDescent="0.25">
      <c r="A34" s="184"/>
      <c r="B34" s="200" t="s">
        <v>93</v>
      </c>
      <c r="C34" s="200"/>
      <c r="D34" s="200"/>
      <c r="E34" s="36">
        <f>E27+E32</f>
        <v>3535.02</v>
      </c>
      <c r="F34" s="36">
        <f>F27+F32</f>
        <v>3535.02</v>
      </c>
      <c r="G34" s="36">
        <f>G27+G32</f>
        <v>3380.42</v>
      </c>
      <c r="H34" s="36">
        <f>H27+H32</f>
        <v>3380.42</v>
      </c>
      <c r="I34" s="37">
        <f>I27+I32</f>
        <v>6940.85</v>
      </c>
    </row>
    <row r="35" spans="1:15" ht="3" customHeight="1" x14ac:dyDescent="0.25">
      <c r="A35" s="165"/>
      <c r="B35" s="166"/>
      <c r="C35" s="166"/>
      <c r="D35" s="166"/>
      <c r="E35" s="166"/>
      <c r="F35" s="166"/>
      <c r="G35" s="166"/>
      <c r="H35" s="166"/>
      <c r="I35" s="167"/>
    </row>
    <row r="36" spans="1:15" ht="15" customHeight="1" x14ac:dyDescent="0.25">
      <c r="A36" s="184" t="s">
        <v>130</v>
      </c>
      <c r="B36" s="205" t="s">
        <v>94</v>
      </c>
      <c r="C36" s="205"/>
      <c r="D36" s="42">
        <v>0.06</v>
      </c>
      <c r="E36" s="29">
        <f>E34*$D$36</f>
        <v>212.1</v>
      </c>
      <c r="F36" s="29">
        <f>F34*$D$36</f>
        <v>212.1</v>
      </c>
      <c r="G36" s="29">
        <f>G34*$D$36</f>
        <v>202.83</v>
      </c>
      <c r="H36" s="29">
        <f>H34*$D$36</f>
        <v>202.83</v>
      </c>
      <c r="I36" s="30">
        <f>I34*$D$36</f>
        <v>416.45</v>
      </c>
    </row>
    <row r="37" spans="1:15" ht="15" customHeight="1" x14ac:dyDescent="0.25">
      <c r="A37" s="184"/>
      <c r="B37" s="205" t="s">
        <v>95</v>
      </c>
      <c r="C37" s="205"/>
      <c r="D37" s="42">
        <v>0.06</v>
      </c>
      <c r="E37" s="29">
        <f>(E34+E36)*$D$37</f>
        <v>224.83</v>
      </c>
      <c r="F37" s="29">
        <f>(F34+F36)*$D$37</f>
        <v>224.83</v>
      </c>
      <c r="G37" s="29">
        <f>(G34+G36)*$D$37</f>
        <v>215</v>
      </c>
      <c r="H37" s="29">
        <f>(H34+H36)*$D$37</f>
        <v>215</v>
      </c>
      <c r="I37" s="30">
        <f>(I34+I36)*$D$37</f>
        <v>441.44</v>
      </c>
    </row>
    <row r="38" spans="1:15" ht="15" customHeight="1" x14ac:dyDescent="0.25">
      <c r="A38" s="184"/>
      <c r="B38" s="290" t="s">
        <v>36</v>
      </c>
      <c r="C38" s="39" t="s">
        <v>37</v>
      </c>
      <c r="D38" s="42">
        <v>5.8999999999999999E-3</v>
      </c>
      <c r="E38" s="29">
        <f>((E34+E36+E37)*$D$38/(1-($D$38+$D$39+$D$40+$D$41)))</f>
        <v>25.56</v>
      </c>
      <c r="F38" s="29">
        <f>((F34+F36+F37)*$D$38/(1-($D$38+$D$39+$D$40+$D$41)))</f>
        <v>25.56</v>
      </c>
      <c r="G38" s="29">
        <f>((G34+G36+G37)*$D$38/(1-($D$38+$D$39+$D$40+$D$41)))</f>
        <v>24.44</v>
      </c>
      <c r="H38" s="29">
        <f>((H34+H36+H37)*$D$38/(1-($D$38+$D$39+$D$40+$D$41)))</f>
        <v>24.44</v>
      </c>
      <c r="I38" s="30">
        <f>((I34+I36+I37)*$D$38/(1-($D$38+$D$39+$D$40+$D$41)))</f>
        <v>50.18</v>
      </c>
    </row>
    <row r="39" spans="1:15" ht="15" customHeight="1" x14ac:dyDescent="0.25">
      <c r="A39" s="184"/>
      <c r="B39" s="290"/>
      <c r="C39" s="39" t="s">
        <v>38</v>
      </c>
      <c r="D39" s="42">
        <v>2.7099999999999999E-2</v>
      </c>
      <c r="E39" s="29">
        <f>((E34+E36+E37)*$D$39/(1-($D$38+$D$39+$D$40+$D$41)))</f>
        <v>117.38</v>
      </c>
      <c r="F39" s="29">
        <f>((F34+F36+F37)*$D$39/(1-($D$38+$D$39+$D$40+$D$41)))</f>
        <v>117.38</v>
      </c>
      <c r="G39" s="29">
        <f>((G34+G36+G37)*$D$39/(1-($D$38+$D$39+$D$40+$D$41)))</f>
        <v>112.25</v>
      </c>
      <c r="H39" s="29">
        <f>((H34+H36+H37)*$D$39/(1-($D$38+$D$39+$D$40+$D$41)))</f>
        <v>112.25</v>
      </c>
      <c r="I39" s="30">
        <f>((I34+I36+I37)*$D$39/(1-($D$38+$D$39+$D$40+$D$41)))</f>
        <v>230.48</v>
      </c>
    </row>
    <row r="40" spans="1:15" ht="15" customHeight="1" x14ac:dyDescent="0.25">
      <c r="A40" s="184"/>
      <c r="B40" s="290"/>
      <c r="C40" s="39" t="s">
        <v>39</v>
      </c>
      <c r="D40" s="42">
        <v>0.05</v>
      </c>
      <c r="E40" s="29">
        <f>((E34+E36+E37)*$D$40/(1-($D$38+$D$39+$D$40+$D$41)))</f>
        <v>216.57</v>
      </c>
      <c r="F40" s="29">
        <f>((F34+F36+F37)*$D$40/(1-($D$38+$D$39+$D$40+$D$41)))</f>
        <v>216.57</v>
      </c>
      <c r="G40" s="29">
        <f>((G34+G36+G37)*$D$40/(1-($D$38+$D$39+$D$40+$D$41)))</f>
        <v>207.1</v>
      </c>
      <c r="H40" s="29">
        <f>((H34+H36+H37)*$D$40/(1-($D$38+$D$39+$D$40+$D$41)))</f>
        <v>207.1</v>
      </c>
      <c r="I40" s="30">
        <f>((I34+I36+I37)*$D$40/(1-($D$38+$D$39+$D$40+$D$41)))</f>
        <v>425.23</v>
      </c>
    </row>
    <row r="41" spans="1:15" ht="15" customHeight="1" x14ac:dyDescent="0.25">
      <c r="A41" s="184"/>
      <c r="B41" s="290"/>
      <c r="C41" s="39" t="s">
        <v>216</v>
      </c>
      <c r="D41" s="42">
        <v>0</v>
      </c>
      <c r="E41" s="29">
        <f>((E34+E36+E37)*$D$41/(1-($D$38+$D$39+$D$40+$D$41)))</f>
        <v>0</v>
      </c>
      <c r="F41" s="29">
        <f>((F34+F36+F37)*$D$41/(1-($D$38+$D$39+$D$40+$D$41)))</f>
        <v>0</v>
      </c>
      <c r="G41" s="29">
        <f>((G34+G36+G37)*$D$41/(1-($D$38+$D$39+$D$40+$D$41)))</f>
        <v>0</v>
      </c>
      <c r="H41" s="29">
        <f>((H34+H36+H37)*$D$41/(1-($D$38+$D$39+$D$40+$D$41)))</f>
        <v>0</v>
      </c>
      <c r="I41" s="30">
        <f>((I34+I36+I37)*$D$41/(1-($D$38+$D$39+$D$40+$D$41)))</f>
        <v>0</v>
      </c>
      <c r="O41" s="3"/>
    </row>
    <row r="42" spans="1:15" ht="15" customHeight="1" x14ac:dyDescent="0.25">
      <c r="A42" s="184"/>
      <c r="B42" s="206" t="s">
        <v>32</v>
      </c>
      <c r="C42" s="206"/>
      <c r="D42" s="43">
        <f>SUM(E42:I42)/SUM(E34:I34)</f>
        <v>0.2253</v>
      </c>
      <c r="E42" s="36">
        <f>SUM(E36:E41)</f>
        <v>796.44</v>
      </c>
      <c r="F42" s="36">
        <f>SUM(F36:F41)</f>
        <v>796.44</v>
      </c>
      <c r="G42" s="36">
        <f>SUM(G36:G41)</f>
        <v>761.62</v>
      </c>
      <c r="H42" s="36">
        <f>SUM(H36:H41)</f>
        <v>761.62</v>
      </c>
      <c r="I42" s="37">
        <f>SUM(I36:I41)</f>
        <v>1563.78</v>
      </c>
      <c r="O42" s="3"/>
    </row>
    <row r="43" spans="1:15" x14ac:dyDescent="0.25">
      <c r="A43" s="287" t="s">
        <v>289</v>
      </c>
      <c r="B43" s="288"/>
      <c r="C43" s="288"/>
      <c r="D43" s="288"/>
      <c r="E43" s="288"/>
      <c r="F43" s="288"/>
      <c r="G43" s="288"/>
      <c r="H43" s="288"/>
      <c r="I43" s="289"/>
      <c r="O43" s="3"/>
    </row>
    <row r="44" spans="1:15" ht="6.6" customHeight="1" x14ac:dyDescent="0.25">
      <c r="A44" s="165"/>
      <c r="B44" s="166"/>
      <c r="C44" s="166"/>
      <c r="D44" s="166"/>
      <c r="E44" s="166"/>
      <c r="F44" s="166"/>
      <c r="G44" s="166"/>
      <c r="H44" s="166"/>
      <c r="I44" s="167"/>
      <c r="O44" s="3"/>
    </row>
    <row r="45" spans="1:15" ht="15" customHeight="1" x14ac:dyDescent="0.25">
      <c r="A45" s="184" t="s">
        <v>23</v>
      </c>
      <c r="B45" s="186" t="s">
        <v>24</v>
      </c>
      <c r="C45" s="186"/>
      <c r="D45" s="186"/>
      <c r="E45" s="29">
        <f>E34+E42</f>
        <v>4331.46</v>
      </c>
      <c r="F45" s="29">
        <f>F34+F42</f>
        <v>4331.46</v>
      </c>
      <c r="G45" s="29">
        <f>G34+G42</f>
        <v>4142.04</v>
      </c>
      <c r="H45" s="29">
        <f>H34+H42</f>
        <v>4142.04</v>
      </c>
      <c r="I45" s="30">
        <f>I34+I42</f>
        <v>8504.6299999999992</v>
      </c>
      <c r="O45" s="3"/>
    </row>
    <row r="46" spans="1:15" ht="15" customHeight="1" thickBot="1" x14ac:dyDescent="0.3">
      <c r="A46" s="185"/>
      <c r="B46" s="186" t="s">
        <v>25</v>
      </c>
      <c r="C46" s="186"/>
      <c r="D46" s="186"/>
      <c r="E46" s="44">
        <f>E45/30</f>
        <v>144.38</v>
      </c>
      <c r="F46" s="44">
        <f>F45/30</f>
        <v>144.38</v>
      </c>
      <c r="G46" s="44">
        <f>G45/30</f>
        <v>138.07</v>
      </c>
      <c r="H46" s="44">
        <f>H45/30</f>
        <v>138.07</v>
      </c>
      <c r="I46" s="45">
        <f>I45/30</f>
        <v>283.49</v>
      </c>
      <c r="O46" s="3"/>
    </row>
    <row r="47" spans="1:15" ht="15" customHeight="1" x14ac:dyDescent="0.25">
      <c r="A47" s="269" t="s">
        <v>26</v>
      </c>
      <c r="B47" s="270"/>
      <c r="C47" s="270"/>
      <c r="D47" s="271"/>
      <c r="E47" s="46">
        <v>85</v>
      </c>
      <c r="F47" s="46">
        <v>34</v>
      </c>
      <c r="G47" s="46">
        <v>85</v>
      </c>
      <c r="H47" s="46">
        <v>34</v>
      </c>
      <c r="I47" s="47">
        <v>99</v>
      </c>
      <c r="O47" s="3"/>
    </row>
    <row r="48" spans="1:15" ht="15" customHeight="1" x14ac:dyDescent="0.25">
      <c r="A48" s="278" t="s">
        <v>96</v>
      </c>
      <c r="B48" s="279"/>
      <c r="C48" s="279"/>
      <c r="D48" s="280"/>
      <c r="E48" s="29">
        <f>E47*E46*E23</f>
        <v>61361.5</v>
      </c>
      <c r="F48" s="29">
        <f>F47*F46*F23</f>
        <v>107996.24</v>
      </c>
      <c r="G48" s="29">
        <f>G47*G46*G23</f>
        <v>809780.55</v>
      </c>
      <c r="H48" s="29">
        <f>H47*H46*H23</f>
        <v>1675893.66</v>
      </c>
      <c r="I48" s="30">
        <f>I47*I46*I23</f>
        <v>28065.51</v>
      </c>
      <c r="O48" s="3"/>
    </row>
    <row r="49" spans="1:15" ht="15" customHeight="1" thickBot="1" x14ac:dyDescent="0.3">
      <c r="A49" s="283" t="s">
        <v>97</v>
      </c>
      <c r="B49" s="284"/>
      <c r="C49" s="284"/>
      <c r="D49" s="285"/>
      <c r="E49" s="281">
        <f>SUM(E48:I48)</f>
        <v>2683097.46</v>
      </c>
      <c r="F49" s="281"/>
      <c r="G49" s="281"/>
      <c r="H49" s="281"/>
      <c r="I49" s="282"/>
      <c r="O49" s="3"/>
    </row>
    <row r="50" spans="1:15" ht="16.5" thickBot="1" x14ac:dyDescent="0.3">
      <c r="A50" s="294"/>
      <c r="B50" s="295"/>
      <c r="C50" s="295"/>
      <c r="D50" s="295"/>
      <c r="E50" s="295"/>
      <c r="F50" s="295"/>
      <c r="G50" s="295"/>
      <c r="H50" s="295"/>
      <c r="I50" s="296"/>
      <c r="O50" s="3"/>
    </row>
    <row r="51" spans="1:15" ht="15" customHeight="1" x14ac:dyDescent="0.25">
      <c r="A51" s="269" t="s">
        <v>27</v>
      </c>
      <c r="B51" s="270"/>
      <c r="C51" s="270"/>
      <c r="D51" s="271"/>
      <c r="E51" s="46">
        <v>51</v>
      </c>
      <c r="F51" s="46">
        <v>20</v>
      </c>
      <c r="G51" s="46">
        <v>20</v>
      </c>
      <c r="H51" s="46">
        <v>0</v>
      </c>
      <c r="I51" s="47">
        <v>58</v>
      </c>
      <c r="O51" s="3"/>
    </row>
    <row r="52" spans="1:15" ht="15" customHeight="1" x14ac:dyDescent="0.25">
      <c r="A52" s="278" t="s">
        <v>98</v>
      </c>
      <c r="B52" s="279"/>
      <c r="C52" s="279"/>
      <c r="D52" s="280"/>
      <c r="E52" s="29">
        <f>E51*E46*E24</f>
        <v>36816.9</v>
      </c>
      <c r="F52" s="29">
        <f>F51*F46*F24</f>
        <v>63527.199999999997</v>
      </c>
      <c r="G52" s="29">
        <f>G51*G46*G24</f>
        <v>190536.6</v>
      </c>
      <c r="H52" s="29">
        <f>H51*H46*H24</f>
        <v>0</v>
      </c>
      <c r="I52" s="30">
        <f>I51*I46*I24</f>
        <v>16442.419999999998</v>
      </c>
    </row>
    <row r="53" spans="1:15" ht="15" customHeight="1" thickBot="1" x14ac:dyDescent="0.3">
      <c r="A53" s="283" t="s">
        <v>97</v>
      </c>
      <c r="B53" s="284"/>
      <c r="C53" s="284"/>
      <c r="D53" s="285"/>
      <c r="E53" s="281">
        <f>SUM(E52:I52)</f>
        <v>307323.12</v>
      </c>
      <c r="F53" s="281"/>
      <c r="G53" s="281"/>
      <c r="H53" s="281"/>
      <c r="I53" s="282"/>
    </row>
    <row r="54" spans="1:15" ht="15" customHeight="1" x14ac:dyDescent="0.25"/>
    <row r="55" spans="1:15" ht="15" customHeight="1" thickBot="1" x14ac:dyDescent="0.3"/>
    <row r="56" spans="1:15" ht="15" customHeight="1" x14ac:dyDescent="0.25">
      <c r="A56" s="209" t="s">
        <v>258</v>
      </c>
      <c r="B56" s="210"/>
      <c r="C56" s="210"/>
      <c r="D56" s="210"/>
      <c r="E56" s="210"/>
      <c r="F56" s="210"/>
      <c r="G56" s="210"/>
      <c r="H56" s="210"/>
      <c r="I56" s="211"/>
    </row>
    <row r="57" spans="1:15" ht="15" customHeight="1" x14ac:dyDescent="0.25">
      <c r="A57" s="268" t="s">
        <v>81</v>
      </c>
      <c r="B57" s="201"/>
      <c r="C57" s="201"/>
      <c r="D57" s="201"/>
      <c r="E57" s="201"/>
      <c r="F57" s="201"/>
      <c r="G57" s="201"/>
      <c r="H57" s="201"/>
      <c r="I57" s="202"/>
    </row>
    <row r="58" spans="1:15" ht="15" customHeight="1" x14ac:dyDescent="0.25">
      <c r="A58" s="212" t="s">
        <v>124</v>
      </c>
      <c r="B58" s="213"/>
      <c r="C58" s="213"/>
      <c r="D58" s="213"/>
      <c r="E58" s="213"/>
      <c r="F58" s="213"/>
      <c r="G58" s="213"/>
      <c r="H58" s="213"/>
      <c r="I58" s="214"/>
    </row>
    <row r="59" spans="1:15" ht="15" customHeight="1" x14ac:dyDescent="0.25">
      <c r="A59" s="333" t="s">
        <v>125</v>
      </c>
      <c r="B59" s="334"/>
      <c r="C59" s="334"/>
      <c r="D59" s="334"/>
      <c r="E59" s="334"/>
      <c r="F59" s="334"/>
      <c r="G59" s="334"/>
      <c r="H59" s="334"/>
      <c r="I59" s="335"/>
    </row>
    <row r="60" spans="1:15" ht="26.25" customHeight="1" x14ac:dyDescent="0.25">
      <c r="A60" s="286"/>
      <c r="B60" s="199"/>
      <c r="C60" s="199"/>
      <c r="D60" s="199"/>
      <c r="E60" s="298" t="s">
        <v>13</v>
      </c>
      <c r="F60" s="299"/>
      <c r="G60" s="299"/>
      <c r="H60" s="300"/>
      <c r="I60" s="20" t="s">
        <v>41</v>
      </c>
    </row>
    <row r="61" spans="1:15" ht="15" customHeight="1" x14ac:dyDescent="0.25">
      <c r="A61" s="286"/>
      <c r="B61" s="199"/>
      <c r="C61" s="199"/>
      <c r="D61" s="199"/>
      <c r="E61" s="48" t="s">
        <v>195</v>
      </c>
      <c r="F61" s="48" t="s">
        <v>196</v>
      </c>
      <c r="G61" s="49" t="s">
        <v>197</v>
      </c>
      <c r="H61" s="49" t="s">
        <v>198</v>
      </c>
      <c r="I61" s="50" t="s">
        <v>89</v>
      </c>
    </row>
    <row r="62" spans="1:15" ht="15" customHeight="1" x14ac:dyDescent="0.25">
      <c r="A62" s="286" t="s">
        <v>131</v>
      </c>
      <c r="B62" s="199"/>
      <c r="C62" s="199"/>
      <c r="D62" s="199"/>
      <c r="E62" s="29">
        <v>0</v>
      </c>
      <c r="F62" s="29">
        <v>0</v>
      </c>
      <c r="G62" s="29">
        <v>200</v>
      </c>
      <c r="H62" s="29">
        <v>200</v>
      </c>
      <c r="I62" s="30">
        <v>0</v>
      </c>
    </row>
    <row r="63" spans="1:15" ht="15" customHeight="1" x14ac:dyDescent="0.25">
      <c r="A63" s="181" t="s">
        <v>102</v>
      </c>
      <c r="B63" s="207" t="s">
        <v>126</v>
      </c>
      <c r="C63" s="208"/>
      <c r="D63" s="52">
        <f>D36</f>
        <v>0.06</v>
      </c>
      <c r="E63" s="29">
        <f>$D$63*E62</f>
        <v>0</v>
      </c>
      <c r="F63" s="29">
        <f>$D$63*F62</f>
        <v>0</v>
      </c>
      <c r="G63" s="29">
        <f>$D$63*G62</f>
        <v>12</v>
      </c>
      <c r="H63" s="29">
        <f>$D$63*H62</f>
        <v>12</v>
      </c>
      <c r="I63" s="30">
        <f>$D$63*I62</f>
        <v>0</v>
      </c>
    </row>
    <row r="64" spans="1:15" x14ac:dyDescent="0.25">
      <c r="A64" s="182"/>
      <c r="B64" s="207" t="s">
        <v>35</v>
      </c>
      <c r="C64" s="208"/>
      <c r="D64" s="52">
        <f>D37</f>
        <v>0.06</v>
      </c>
      <c r="E64" s="29">
        <f>$D$64*(E62+E63)</f>
        <v>0</v>
      </c>
      <c r="F64" s="29">
        <f>$D$64*(F62+F63)</f>
        <v>0</v>
      </c>
      <c r="G64" s="29">
        <f>$D$64*(G62+G63)</f>
        <v>12.72</v>
      </c>
      <c r="H64" s="29">
        <f>$D$64*(H62+H63)</f>
        <v>12.72</v>
      </c>
      <c r="I64" s="30">
        <f>$D$64*(I62+I63)</f>
        <v>0</v>
      </c>
    </row>
    <row r="65" spans="1:9" x14ac:dyDescent="0.25">
      <c r="A65" s="182"/>
      <c r="B65" s="207" t="s">
        <v>38</v>
      </c>
      <c r="C65" s="208"/>
      <c r="D65" s="52">
        <f>D39</f>
        <v>2.7099999999999999E-2</v>
      </c>
      <c r="E65" s="29">
        <f>E69*$D$65</f>
        <v>0</v>
      </c>
      <c r="F65" s="29">
        <f>F69*$D$65</f>
        <v>0</v>
      </c>
      <c r="G65" s="29">
        <f>G69*$D$65</f>
        <v>6.64</v>
      </c>
      <c r="H65" s="29">
        <f>H69*$D$65</f>
        <v>6.64</v>
      </c>
      <c r="I65" s="30">
        <f>I69*$D$65</f>
        <v>0</v>
      </c>
    </row>
    <row r="66" spans="1:9" x14ac:dyDescent="0.25">
      <c r="A66" s="182"/>
      <c r="B66" s="207" t="s">
        <v>37</v>
      </c>
      <c r="C66" s="208"/>
      <c r="D66" s="52">
        <f>D38</f>
        <v>5.8999999999999999E-3</v>
      </c>
      <c r="E66" s="29">
        <f>E69*$D$66</f>
        <v>0</v>
      </c>
      <c r="F66" s="29">
        <f>F69*$D$66</f>
        <v>0</v>
      </c>
      <c r="G66" s="29">
        <f>G69*$D$66</f>
        <v>1.45</v>
      </c>
      <c r="H66" s="29">
        <f>H69*$D$66</f>
        <v>1.45</v>
      </c>
      <c r="I66" s="30">
        <f>I69*$D$66</f>
        <v>0</v>
      </c>
    </row>
    <row r="67" spans="1:9" x14ac:dyDescent="0.25">
      <c r="A67" s="182"/>
      <c r="B67" s="207" t="s">
        <v>39</v>
      </c>
      <c r="C67" s="208"/>
      <c r="D67" s="53">
        <f>D40</f>
        <v>0.05</v>
      </c>
      <c r="E67" s="29">
        <f>E69*$D$67</f>
        <v>0</v>
      </c>
      <c r="F67" s="29">
        <f>F69*$D$67</f>
        <v>0</v>
      </c>
      <c r="G67" s="29">
        <f>G69*$D$67</f>
        <v>12.25</v>
      </c>
      <c r="H67" s="29">
        <f>H69*$D$67</f>
        <v>12.25</v>
      </c>
      <c r="I67" s="30">
        <f>I69*$D$67</f>
        <v>0</v>
      </c>
    </row>
    <row r="68" spans="1:9" x14ac:dyDescent="0.25">
      <c r="A68" s="183"/>
      <c r="B68" s="207" t="s">
        <v>216</v>
      </c>
      <c r="C68" s="208"/>
      <c r="D68" s="53">
        <f>D41</f>
        <v>0</v>
      </c>
      <c r="E68" s="29">
        <f>E69*$D$68</f>
        <v>0</v>
      </c>
      <c r="F68" s="29">
        <f>F69*$D$68</f>
        <v>0</v>
      </c>
      <c r="G68" s="29">
        <f>G69*$D$68</f>
        <v>0</v>
      </c>
      <c r="H68" s="29">
        <f>H69*$D$68</f>
        <v>0</v>
      </c>
      <c r="I68" s="29">
        <f>I69*$D$68</f>
        <v>0</v>
      </c>
    </row>
    <row r="69" spans="1:9" ht="15" customHeight="1" x14ac:dyDescent="0.25">
      <c r="A69" s="341" t="s">
        <v>127</v>
      </c>
      <c r="B69" s="342"/>
      <c r="C69" s="342"/>
      <c r="D69" s="342"/>
      <c r="E69" s="36">
        <f>SUM(E62+E63+E64)*1/(1-(SUM($D$65+$D$66+$D$67)))</f>
        <v>0</v>
      </c>
      <c r="F69" s="36">
        <f>SUM(F62+F63+F64)*1/(1-(SUM($D$65+$D$66+$D$67)))</f>
        <v>0</v>
      </c>
      <c r="G69" s="36">
        <f>SUM(G62+G63+G64)*1/(1-(SUM($D$65+$D$66+$D$67)))</f>
        <v>245.06</v>
      </c>
      <c r="H69" s="36">
        <f>SUM(H62+H63+H64)*1/(1-(SUM($D$65+$D$66+$D$67)))</f>
        <v>245.06</v>
      </c>
      <c r="I69" s="37">
        <f>SUM(I62+I63+I64)*1/(1-(SUM($D$65+$D$66+$D$67)))</f>
        <v>0</v>
      </c>
    </row>
    <row r="70" spans="1:9" ht="16.5" customHeight="1" x14ac:dyDescent="0.25">
      <c r="A70" s="272"/>
      <c r="B70" s="273"/>
      <c r="C70" s="54" t="s">
        <v>201</v>
      </c>
      <c r="D70" s="55">
        <v>45505</v>
      </c>
      <c r="E70" s="56">
        <v>0</v>
      </c>
      <c r="F70" s="56">
        <v>0</v>
      </c>
      <c r="G70" s="56">
        <v>3.5</v>
      </c>
      <c r="H70" s="56">
        <v>1</v>
      </c>
      <c r="I70" s="57">
        <v>0</v>
      </c>
    </row>
    <row r="71" spans="1:9" ht="16.5" customHeight="1" x14ac:dyDescent="0.25">
      <c r="A71" s="272"/>
      <c r="B71" s="273"/>
      <c r="C71" s="54" t="s">
        <v>7</v>
      </c>
      <c r="D71" s="55">
        <v>45570</v>
      </c>
      <c r="E71" s="56">
        <v>0</v>
      </c>
      <c r="F71" s="56">
        <v>0</v>
      </c>
      <c r="G71" s="56">
        <v>0</v>
      </c>
      <c r="H71" s="56">
        <v>1</v>
      </c>
      <c r="I71" s="57">
        <v>0</v>
      </c>
    </row>
    <row r="72" spans="1:9" ht="16.5" customHeight="1" x14ac:dyDescent="0.25">
      <c r="A72" s="158"/>
      <c r="B72" s="274"/>
      <c r="C72" s="54" t="s">
        <v>8</v>
      </c>
      <c r="D72" s="55">
        <v>45571</v>
      </c>
      <c r="E72" s="56">
        <v>0</v>
      </c>
      <c r="F72" s="56">
        <v>0</v>
      </c>
      <c r="G72" s="56">
        <v>0</v>
      </c>
      <c r="H72" s="56">
        <v>0.5</v>
      </c>
      <c r="I72" s="57">
        <v>0</v>
      </c>
    </row>
    <row r="73" spans="1:9" x14ac:dyDescent="0.25">
      <c r="A73" s="325" t="s">
        <v>128</v>
      </c>
      <c r="B73" s="326"/>
      <c r="C73" s="324" t="s">
        <v>9</v>
      </c>
      <c r="D73" s="280"/>
      <c r="E73" s="58">
        <f>SUM(E70:E72)*E69</f>
        <v>0</v>
      </c>
      <c r="F73" s="58">
        <f>SUM(F70:F72)*F69</f>
        <v>0</v>
      </c>
      <c r="G73" s="58">
        <v>173</v>
      </c>
      <c r="H73" s="58">
        <v>375</v>
      </c>
      <c r="I73" s="59">
        <f>SUM(I70:I72)*I69</f>
        <v>0</v>
      </c>
    </row>
    <row r="74" spans="1:9" ht="15" customHeight="1" x14ac:dyDescent="0.25">
      <c r="A74" s="327"/>
      <c r="B74" s="328"/>
      <c r="C74" s="324" t="s">
        <v>10</v>
      </c>
      <c r="D74" s="280"/>
      <c r="E74" s="60">
        <f>E73*E24</f>
        <v>0</v>
      </c>
      <c r="F74" s="60">
        <f>F73*F24</f>
        <v>0</v>
      </c>
      <c r="G74" s="58">
        <v>0</v>
      </c>
      <c r="H74" s="58">
        <v>0</v>
      </c>
      <c r="I74" s="61">
        <f>I73*I24</f>
        <v>0</v>
      </c>
    </row>
    <row r="75" spans="1:9" ht="15" customHeight="1" x14ac:dyDescent="0.25">
      <c r="A75" s="327"/>
      <c r="B75" s="328"/>
      <c r="C75" s="324" t="s">
        <v>12</v>
      </c>
      <c r="D75" s="279"/>
      <c r="E75" s="62">
        <f>E73*E69</f>
        <v>0</v>
      </c>
      <c r="F75" s="62">
        <f>F73*F69</f>
        <v>0</v>
      </c>
      <c r="G75" s="62">
        <f>G73*G69</f>
        <v>42395.38</v>
      </c>
      <c r="H75" s="62">
        <f>H73*H69</f>
        <v>91897.5</v>
      </c>
      <c r="I75" s="63">
        <f>I73*I69</f>
        <v>0</v>
      </c>
    </row>
    <row r="76" spans="1:9" ht="15" customHeight="1" x14ac:dyDescent="0.25">
      <c r="A76" s="329"/>
      <c r="B76" s="330"/>
      <c r="C76" s="324" t="s">
        <v>11</v>
      </c>
      <c r="D76" s="279"/>
      <c r="E76" s="62">
        <f>E74*E69</f>
        <v>0</v>
      </c>
      <c r="F76" s="62">
        <f>F74*F69</f>
        <v>0</v>
      </c>
      <c r="G76" s="62">
        <f>G74*G69</f>
        <v>0</v>
      </c>
      <c r="H76" s="62">
        <f>H74*H69</f>
        <v>0</v>
      </c>
      <c r="I76" s="63">
        <f>I74*I69</f>
        <v>0</v>
      </c>
    </row>
    <row r="77" spans="1:9" x14ac:dyDescent="0.25">
      <c r="A77" s="339"/>
      <c r="B77" s="154"/>
      <c r="C77" s="154"/>
      <c r="D77" s="154"/>
      <c r="E77" s="154"/>
      <c r="F77" s="154"/>
      <c r="G77" s="154"/>
      <c r="H77" s="154"/>
      <c r="I77" s="340"/>
    </row>
    <row r="78" spans="1:9" ht="16.5" thickBot="1" x14ac:dyDescent="0.3">
      <c r="A78" s="338"/>
      <c r="B78" s="338"/>
      <c r="C78" s="338"/>
      <c r="D78" s="338"/>
      <c r="E78" s="338"/>
      <c r="F78" s="338"/>
      <c r="G78" s="338"/>
      <c r="H78" s="338"/>
      <c r="I78" s="338"/>
    </row>
    <row r="79" spans="1:9" x14ac:dyDescent="0.25">
      <c r="A79" s="291" t="s">
        <v>259</v>
      </c>
      <c r="B79" s="292"/>
      <c r="C79" s="292"/>
      <c r="D79" s="292"/>
      <c r="E79" s="292"/>
      <c r="F79" s="292"/>
      <c r="G79" s="292"/>
      <c r="H79" s="292"/>
      <c r="I79" s="293"/>
    </row>
    <row r="80" spans="1:9" ht="15" customHeight="1" x14ac:dyDescent="0.25">
      <c r="A80" s="275" t="s">
        <v>81</v>
      </c>
      <c r="B80" s="276"/>
      <c r="C80" s="276"/>
      <c r="D80" s="276"/>
      <c r="E80" s="276"/>
      <c r="F80" s="276"/>
      <c r="G80" s="276"/>
      <c r="H80" s="276"/>
      <c r="I80" s="277"/>
    </row>
    <row r="81" spans="1:24" ht="20.100000000000001" customHeight="1" x14ac:dyDescent="0.25">
      <c r="A81" s="275" t="s">
        <v>124</v>
      </c>
      <c r="B81" s="276"/>
      <c r="C81" s="276"/>
      <c r="D81" s="276"/>
      <c r="E81" s="276"/>
      <c r="F81" s="276"/>
      <c r="G81" s="276"/>
      <c r="H81" s="276"/>
      <c r="I81" s="277"/>
    </row>
    <row r="82" spans="1:24" ht="20.100000000000001" customHeight="1" x14ac:dyDescent="0.25">
      <c r="A82" s="236" t="s">
        <v>30</v>
      </c>
      <c r="B82" s="237"/>
      <c r="C82" s="237"/>
      <c r="D82" s="237"/>
      <c r="E82" s="237"/>
      <c r="F82" s="237"/>
      <c r="G82" s="237"/>
      <c r="H82" s="237"/>
      <c r="I82" s="238"/>
    </row>
    <row r="83" spans="1:24" ht="20.100000000000001" customHeight="1" x14ac:dyDescent="0.25">
      <c r="A83" s="241" t="s">
        <v>194</v>
      </c>
      <c r="B83" s="242"/>
      <c r="C83" s="242"/>
      <c r="D83" s="243"/>
      <c r="E83" s="239" t="s">
        <v>87</v>
      </c>
      <c r="F83" s="239"/>
      <c r="G83" s="239"/>
      <c r="H83" s="239"/>
      <c r="I83" s="240"/>
    </row>
    <row r="84" spans="1:24" ht="20.100000000000001" customHeight="1" x14ac:dyDescent="0.25">
      <c r="A84" s="244"/>
      <c r="B84" s="245"/>
      <c r="C84" s="245"/>
      <c r="D84" s="246"/>
      <c r="E84" s="239" t="s">
        <v>88</v>
      </c>
      <c r="F84" s="239"/>
      <c r="G84" s="239"/>
      <c r="H84" s="239"/>
      <c r="I84" s="235" t="s">
        <v>41</v>
      </c>
    </row>
    <row r="85" spans="1:24" ht="20.100000000000001" customHeight="1" x14ac:dyDescent="0.25">
      <c r="A85" s="244"/>
      <c r="B85" s="245"/>
      <c r="C85" s="245"/>
      <c r="D85" s="246"/>
      <c r="E85" s="252" t="s">
        <v>13</v>
      </c>
      <c r="F85" s="253"/>
      <c r="G85" s="253"/>
      <c r="H85" s="254"/>
      <c r="I85" s="235"/>
    </row>
    <row r="86" spans="1:24" ht="20.100000000000001" customHeight="1" x14ac:dyDescent="0.25">
      <c r="A86" s="247"/>
      <c r="B86" s="248"/>
      <c r="C86" s="248"/>
      <c r="D86" s="249"/>
      <c r="E86" s="48" t="s">
        <v>195</v>
      </c>
      <c r="F86" s="48" t="s">
        <v>196</v>
      </c>
      <c r="G86" s="49" t="s">
        <v>197</v>
      </c>
      <c r="H86" s="49" t="s">
        <v>198</v>
      </c>
      <c r="I86" s="64" t="s">
        <v>89</v>
      </c>
    </row>
    <row r="87" spans="1:24" ht="20.100000000000001" customHeight="1" x14ac:dyDescent="0.25">
      <c r="A87" s="250" t="s">
        <v>132</v>
      </c>
      <c r="B87" s="251"/>
      <c r="C87" s="251"/>
      <c r="D87" s="251"/>
      <c r="E87" s="65">
        <f>($D$17*0.4)*E24*(E47+E51)+((($D$17*0.4)*E24*(E47+E51))*$D$42)</f>
        <v>2572.9299999999998</v>
      </c>
      <c r="F87" s="65">
        <f>($D$17*0.4)*F24*(F47+F51)+((($D$17*0.4)*F24*(F47+F51))*$D$42)</f>
        <v>4495.07</v>
      </c>
      <c r="G87" s="65">
        <f>($D$17*0.4)*G23*(G47+G51)+((($D$17*0.4)*G23*(G47+G51))*$D$42)</f>
        <v>27413.1</v>
      </c>
      <c r="H87" s="65">
        <f>($D$17*0.4)*H23*(H47+H51)+((($D$17*0.4)*H23*(H47+H51))*$D$42)</f>
        <v>45926.87</v>
      </c>
      <c r="I87" s="66">
        <f>($D$17*0.4)*I24*(I47+I51)+((($D$17*0.4)*I24*(I47+I51))*$D$42)</f>
        <v>594.04999999999995</v>
      </c>
    </row>
    <row r="88" spans="1:24" ht="15" customHeight="1" thickBot="1" x14ac:dyDescent="0.3">
      <c r="A88" s="266" t="s">
        <v>133</v>
      </c>
      <c r="B88" s="267"/>
      <c r="C88" s="267"/>
      <c r="D88" s="267"/>
      <c r="E88" s="257">
        <f>SUM(E87:I87)</f>
        <v>81002.02</v>
      </c>
      <c r="F88" s="257"/>
      <c r="G88" s="257"/>
      <c r="H88" s="257"/>
      <c r="I88" s="258"/>
    </row>
    <row r="90" spans="1:24" ht="16.5" thickBot="1" x14ac:dyDescent="0.3"/>
    <row r="91" spans="1:24" x14ac:dyDescent="0.25">
      <c r="A91" s="209" t="s">
        <v>260</v>
      </c>
      <c r="B91" s="210"/>
      <c r="C91" s="210"/>
      <c r="D91" s="210"/>
      <c r="E91" s="210"/>
      <c r="F91" s="210"/>
      <c r="G91" s="210"/>
      <c r="H91" s="210"/>
      <c r="I91" s="211"/>
    </row>
    <row r="92" spans="1:24" x14ac:dyDescent="0.25">
      <c r="A92" s="268" t="s">
        <v>81</v>
      </c>
      <c r="B92" s="201"/>
      <c r="C92" s="201"/>
      <c r="D92" s="201"/>
      <c r="E92" s="201"/>
      <c r="F92" s="201"/>
      <c r="G92" s="201"/>
      <c r="H92" s="201"/>
      <c r="I92" s="202"/>
    </row>
    <row r="93" spans="1:24" ht="15" customHeight="1" x14ac:dyDescent="0.25">
      <c r="A93" s="212" t="s">
        <v>124</v>
      </c>
      <c r="B93" s="213"/>
      <c r="C93" s="213"/>
      <c r="D93" s="213"/>
      <c r="E93" s="213"/>
      <c r="F93" s="213"/>
      <c r="G93" s="213"/>
      <c r="H93" s="213"/>
      <c r="I93" s="214"/>
    </row>
    <row r="94" spans="1:24" x14ac:dyDescent="0.25">
      <c r="A94" s="333" t="s">
        <v>31</v>
      </c>
      <c r="B94" s="334"/>
      <c r="C94" s="334"/>
      <c r="D94" s="334"/>
      <c r="E94" s="334"/>
      <c r="F94" s="334"/>
      <c r="G94" s="334"/>
      <c r="H94" s="334"/>
      <c r="I94" s="335"/>
    </row>
    <row r="95" spans="1:24" x14ac:dyDescent="0.25">
      <c r="A95" s="260" t="s">
        <v>199</v>
      </c>
      <c r="B95" s="261"/>
      <c r="C95" s="261"/>
      <c r="D95" s="262"/>
      <c r="E95" s="298" t="s">
        <v>13</v>
      </c>
      <c r="F95" s="299"/>
      <c r="G95" s="299"/>
      <c r="H95" s="300"/>
      <c r="I95" s="67" t="s">
        <v>41</v>
      </c>
    </row>
    <row r="96" spans="1:24" s="68" customFormat="1" ht="31.5" x14ac:dyDescent="0.25">
      <c r="A96" s="263"/>
      <c r="B96" s="264"/>
      <c r="C96" s="264"/>
      <c r="D96" s="265"/>
      <c r="E96" s="48" t="s">
        <v>195</v>
      </c>
      <c r="F96" s="48" t="s">
        <v>196</v>
      </c>
      <c r="G96" s="49" t="s">
        <v>197</v>
      </c>
      <c r="H96" s="49" t="s">
        <v>198</v>
      </c>
      <c r="I96" s="23" t="s">
        <v>89</v>
      </c>
      <c r="J96" s="3"/>
      <c r="K96" s="3"/>
      <c r="L96" s="3"/>
      <c r="M96" s="3"/>
      <c r="N96" s="3"/>
      <c r="O96" s="4"/>
      <c r="P96" s="3"/>
      <c r="Q96" s="3"/>
      <c r="R96" s="3"/>
      <c r="S96" s="3"/>
      <c r="T96" s="3"/>
      <c r="U96" s="3"/>
      <c r="V96" s="3"/>
      <c r="W96" s="3"/>
      <c r="X96" s="3"/>
    </row>
    <row r="97" spans="1:24" s="68" customFormat="1" x14ac:dyDescent="0.25">
      <c r="A97" s="259" t="s">
        <v>99</v>
      </c>
      <c r="B97" s="186"/>
      <c r="C97" s="186"/>
      <c r="D97" s="186"/>
      <c r="E97" s="29">
        <f>E23*Uniformes!$F$7</f>
        <v>672.35</v>
      </c>
      <c r="F97" s="29">
        <f>F23*Uniformes!$F$7</f>
        <v>2958.34</v>
      </c>
      <c r="G97" s="29">
        <f>G23*Uniformes!$F$7</f>
        <v>9278.43</v>
      </c>
      <c r="H97" s="29">
        <f>H23*Uniformes!$F$7</f>
        <v>48005.79</v>
      </c>
      <c r="I97" s="30">
        <f>I23*Uniformes!$F$7</f>
        <v>134.47</v>
      </c>
      <c r="J97" s="3"/>
      <c r="K97" s="3"/>
      <c r="L97" s="3"/>
      <c r="M97" s="3"/>
      <c r="N97" s="3"/>
      <c r="O97" s="4"/>
      <c r="P97" s="3"/>
      <c r="Q97" s="3"/>
      <c r="R97" s="3"/>
      <c r="S97" s="3"/>
      <c r="T97" s="3"/>
      <c r="U97" s="3"/>
      <c r="V97" s="3"/>
      <c r="W97" s="3"/>
      <c r="X97" s="3"/>
    </row>
    <row r="98" spans="1:24" s="68" customFormat="1" x14ac:dyDescent="0.25">
      <c r="A98" s="255" t="s">
        <v>100</v>
      </c>
      <c r="B98" s="256"/>
      <c r="C98" s="256"/>
      <c r="D98" s="256"/>
      <c r="E98" s="29">
        <f>E97*$D$42+E97</f>
        <v>823.83</v>
      </c>
      <c r="F98" s="29">
        <f>F97*$D$42+F97</f>
        <v>3624.85</v>
      </c>
      <c r="G98" s="29">
        <f>G97*$D$42+G97</f>
        <v>11368.86</v>
      </c>
      <c r="H98" s="29">
        <f>H97*$D$42+H97</f>
        <v>58821.49</v>
      </c>
      <c r="I98" s="30">
        <f>I97*$D$42+I97</f>
        <v>164.77</v>
      </c>
      <c r="J98" s="3"/>
      <c r="K98" s="3"/>
      <c r="L98" s="3"/>
      <c r="M98" s="3"/>
      <c r="N98" s="3"/>
      <c r="O98" s="4"/>
      <c r="P98" s="3"/>
      <c r="Q98" s="3"/>
      <c r="R98" s="3"/>
      <c r="S98" s="3"/>
      <c r="T98" s="3"/>
      <c r="U98" s="3"/>
      <c r="V98" s="3"/>
      <c r="W98" s="3"/>
      <c r="X98" s="3"/>
    </row>
    <row r="99" spans="1:24" s="68" customFormat="1" ht="16.5" thickBot="1" x14ac:dyDescent="0.3">
      <c r="A99" s="321" t="s">
        <v>101</v>
      </c>
      <c r="B99" s="322"/>
      <c r="C99" s="322"/>
      <c r="D99" s="322"/>
      <c r="E99" s="319">
        <f>SUM(E98:I98)</f>
        <v>74803.8</v>
      </c>
      <c r="F99" s="319"/>
      <c r="G99" s="319"/>
      <c r="H99" s="319"/>
      <c r="I99" s="320"/>
      <c r="J99" s="3"/>
      <c r="K99" s="3"/>
      <c r="L99" s="3"/>
      <c r="M99" s="3"/>
      <c r="N99" s="3"/>
      <c r="O99" s="4"/>
      <c r="P99" s="3"/>
      <c r="Q99" s="3"/>
      <c r="R99" s="3"/>
      <c r="S99" s="3"/>
      <c r="T99" s="3"/>
      <c r="U99" s="3"/>
      <c r="V99" s="3"/>
      <c r="W99" s="3"/>
      <c r="X99" s="3"/>
    </row>
    <row r="100" spans="1:24" s="68" customForma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4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6.5" thickBot="1" x14ac:dyDescent="0.3"/>
    <row r="102" spans="1:24" x14ac:dyDescent="0.25">
      <c r="A102" s="209" t="s">
        <v>261</v>
      </c>
      <c r="B102" s="210"/>
      <c r="C102" s="210"/>
      <c r="D102" s="210"/>
      <c r="E102" s="210"/>
      <c r="F102" s="210"/>
      <c r="G102" s="210"/>
      <c r="H102" s="210"/>
      <c r="I102" s="211"/>
    </row>
    <row r="103" spans="1:24" ht="15" customHeight="1" x14ac:dyDescent="0.25">
      <c r="A103" s="268" t="s">
        <v>103</v>
      </c>
      <c r="B103" s="201"/>
      <c r="C103" s="201"/>
      <c r="D103" s="201"/>
      <c r="E103" s="201"/>
      <c r="F103" s="201"/>
      <c r="G103" s="201"/>
      <c r="H103" s="201"/>
      <c r="I103" s="202"/>
    </row>
    <row r="104" spans="1:24" ht="22.5" customHeight="1" x14ac:dyDescent="0.25">
      <c r="A104" s="278" t="s">
        <v>104</v>
      </c>
      <c r="B104" s="279"/>
      <c r="C104" s="279"/>
      <c r="D104" s="280"/>
      <c r="E104" s="298" t="s">
        <v>13</v>
      </c>
      <c r="F104" s="299"/>
      <c r="G104" s="299"/>
      <c r="H104" s="300"/>
      <c r="I104" s="67" t="s">
        <v>41</v>
      </c>
    </row>
    <row r="105" spans="1:24" ht="31.5" x14ac:dyDescent="0.25">
      <c r="A105" s="303" t="s">
        <v>134</v>
      </c>
      <c r="B105" s="205"/>
      <c r="C105" s="205"/>
      <c r="D105" s="39" t="s">
        <v>106</v>
      </c>
      <c r="E105" s="48" t="s">
        <v>195</v>
      </c>
      <c r="F105" s="48" t="s">
        <v>196</v>
      </c>
      <c r="G105" s="49" t="s">
        <v>197</v>
      </c>
      <c r="H105" s="49" t="s">
        <v>198</v>
      </c>
      <c r="I105" s="23" t="s">
        <v>89</v>
      </c>
    </row>
    <row r="106" spans="1:24" x14ac:dyDescent="0.25">
      <c r="A106" s="301" t="s">
        <v>107</v>
      </c>
      <c r="B106" s="302"/>
      <c r="C106" s="302"/>
      <c r="D106" s="69">
        <v>0.5</v>
      </c>
      <c r="E106" s="70">
        <f>(E25/220)*1.5</f>
        <v>11.98</v>
      </c>
      <c r="F106" s="70">
        <f>(F25/220)*1.5</f>
        <v>11.98</v>
      </c>
      <c r="G106" s="70">
        <f>(G25/220)*1.5</f>
        <v>11.98</v>
      </c>
      <c r="H106" s="70">
        <f>(H25/220)*1.5</f>
        <v>11.98</v>
      </c>
      <c r="I106" s="71">
        <f>(I25/220)*1.5</f>
        <v>26.43</v>
      </c>
    </row>
    <row r="107" spans="1:24" x14ac:dyDescent="0.25">
      <c r="A107" s="301"/>
      <c r="B107" s="302"/>
      <c r="C107" s="302"/>
      <c r="D107" s="69">
        <v>1</v>
      </c>
      <c r="E107" s="70">
        <f>(E25/220)*2</f>
        <v>15.97</v>
      </c>
      <c r="F107" s="70">
        <f>(F25/220)*2</f>
        <v>15.97</v>
      </c>
      <c r="G107" s="70">
        <f>(G25/220)*2</f>
        <v>15.97</v>
      </c>
      <c r="H107" s="70">
        <f>(H25/220)*2</f>
        <v>15.97</v>
      </c>
      <c r="I107" s="71">
        <f>(I25/220)*2</f>
        <v>35.24</v>
      </c>
    </row>
    <row r="108" spans="1:24" x14ac:dyDescent="0.25">
      <c r="A108" s="301" t="s">
        <v>108</v>
      </c>
      <c r="B108" s="302"/>
      <c r="C108" s="302"/>
      <c r="D108" s="69">
        <v>0.5</v>
      </c>
      <c r="E108" s="70">
        <f>((E27/220)+(E27/220*$D$42))*1.5</f>
        <v>24.65</v>
      </c>
      <c r="F108" s="70">
        <f>((F27/220)+(F27/220*$D$42))*1.5</f>
        <v>24.65</v>
      </c>
      <c r="G108" s="70">
        <f>((G27/220)+(G27/220*$D$42))*1.5</f>
        <v>24.65</v>
      </c>
      <c r="H108" s="70">
        <f>((H27/220)+(H27/220*$D$42))*1.5</f>
        <v>24.65</v>
      </c>
      <c r="I108" s="71">
        <f>((I27/220)+(I27/220*$D$42))*1.5</f>
        <v>54.4</v>
      </c>
    </row>
    <row r="109" spans="1:24" x14ac:dyDescent="0.25">
      <c r="A109" s="301"/>
      <c r="B109" s="302"/>
      <c r="C109" s="302"/>
      <c r="D109" s="69">
        <v>1</v>
      </c>
      <c r="E109" s="70">
        <f>((E27/220)+(E27/220*$D$42))*2</f>
        <v>32.869999999999997</v>
      </c>
      <c r="F109" s="70">
        <f>((F27/220)+(F27/220*$D$42))*2</f>
        <v>32.869999999999997</v>
      </c>
      <c r="G109" s="70">
        <f>((G27/220)+(G27/220*$D$42))*2</f>
        <v>32.869999999999997</v>
      </c>
      <c r="H109" s="70">
        <f>((H27/220)+(H27/220*$D$42))*2</f>
        <v>32.869999999999997</v>
      </c>
      <c r="I109" s="71">
        <f>((I27/220)+(I27/220*$D$42))*2</f>
        <v>72.53</v>
      </c>
    </row>
    <row r="110" spans="1:24" x14ac:dyDescent="0.25">
      <c r="A110" s="331"/>
      <c r="B110" s="222"/>
      <c r="C110" s="222"/>
      <c r="D110" s="222"/>
      <c r="E110" s="222"/>
      <c r="F110" s="222"/>
      <c r="G110" s="222"/>
      <c r="H110" s="222"/>
      <c r="I110" s="332"/>
    </row>
    <row r="111" spans="1:24" ht="21" customHeight="1" x14ac:dyDescent="0.25">
      <c r="A111" s="305" t="s">
        <v>105</v>
      </c>
      <c r="B111" s="306"/>
      <c r="C111" s="72" t="s">
        <v>70</v>
      </c>
      <c r="D111" s="26" t="s">
        <v>106</v>
      </c>
      <c r="E111" s="311" t="s">
        <v>135</v>
      </c>
      <c r="F111" s="312"/>
      <c r="G111" s="312"/>
      <c r="H111" s="312"/>
      <c r="I111" s="313"/>
    </row>
    <row r="112" spans="1:24" x14ac:dyDescent="0.25">
      <c r="A112" s="301" t="s">
        <v>107</v>
      </c>
      <c r="B112" s="302"/>
      <c r="C112" s="22">
        <v>10</v>
      </c>
      <c r="D112" s="69">
        <v>0.5</v>
      </c>
      <c r="E112" s="70">
        <f>E106*$C$112</f>
        <v>119.8</v>
      </c>
      <c r="F112" s="70">
        <f>F106*$C$112</f>
        <v>119.8</v>
      </c>
      <c r="G112" s="70">
        <f>G106*$C$112</f>
        <v>119.8</v>
      </c>
      <c r="H112" s="70">
        <f>H106*$C$112</f>
        <v>119.8</v>
      </c>
      <c r="I112" s="71">
        <f>I106*$C$112</f>
        <v>264.3</v>
      </c>
    </row>
    <row r="113" spans="1:9" x14ac:dyDescent="0.25">
      <c r="A113" s="301"/>
      <c r="B113" s="302"/>
      <c r="C113" s="22">
        <v>10</v>
      </c>
      <c r="D113" s="69">
        <v>1</v>
      </c>
      <c r="E113" s="70">
        <f>E107*$C$113</f>
        <v>159.69999999999999</v>
      </c>
      <c r="F113" s="70">
        <f>F107*$C$113</f>
        <v>159.69999999999999</v>
      </c>
      <c r="G113" s="70">
        <f>G107*$C$113</f>
        <v>159.69999999999999</v>
      </c>
      <c r="H113" s="70">
        <f>H107*$C$113</f>
        <v>159.69999999999999</v>
      </c>
      <c r="I113" s="71">
        <f>I107*$C$113</f>
        <v>352.4</v>
      </c>
    </row>
    <row r="114" spans="1:9" x14ac:dyDescent="0.25">
      <c r="A114" s="301" t="s">
        <v>108</v>
      </c>
      <c r="B114" s="302"/>
      <c r="C114" s="22">
        <v>10</v>
      </c>
      <c r="D114" s="69">
        <v>0.5</v>
      </c>
      <c r="E114" s="70">
        <f>E108*$C$114</f>
        <v>246.5</v>
      </c>
      <c r="F114" s="70">
        <f>F108*$C$114</f>
        <v>246.5</v>
      </c>
      <c r="G114" s="70">
        <f>G108*$C$114</f>
        <v>246.5</v>
      </c>
      <c r="H114" s="70">
        <f>H108*$C$114</f>
        <v>246.5</v>
      </c>
      <c r="I114" s="71">
        <f>I108*$C$114</f>
        <v>544</v>
      </c>
    </row>
    <row r="115" spans="1:9" x14ac:dyDescent="0.25">
      <c r="A115" s="301"/>
      <c r="B115" s="302"/>
      <c r="C115" s="22">
        <f>C113</f>
        <v>10</v>
      </c>
      <c r="D115" s="69">
        <v>1</v>
      </c>
      <c r="E115" s="70">
        <f>E109*$C$115</f>
        <v>328.7</v>
      </c>
      <c r="F115" s="70">
        <f>F109*$C$115</f>
        <v>328.7</v>
      </c>
      <c r="G115" s="70">
        <f>G109*$C$115</f>
        <v>328.7</v>
      </c>
      <c r="H115" s="70">
        <f>H109*$C$115</f>
        <v>328.7</v>
      </c>
      <c r="I115" s="71">
        <f>I109*$C$115</f>
        <v>725.3</v>
      </c>
    </row>
    <row r="116" spans="1:9" x14ac:dyDescent="0.25">
      <c r="A116" s="308" t="s">
        <v>109</v>
      </c>
      <c r="B116" s="309"/>
      <c r="C116" s="309"/>
      <c r="D116" s="309"/>
      <c r="E116" s="70">
        <f>SUM(E114:E115)</f>
        <v>575.20000000000005</v>
      </c>
      <c r="F116" s="70">
        <f>SUM(F114:F115)</f>
        <v>575.20000000000005</v>
      </c>
      <c r="G116" s="70">
        <f>SUM(G114:G115)</f>
        <v>575.20000000000005</v>
      </c>
      <c r="H116" s="70">
        <f>SUM(H114:H115)</f>
        <v>575.20000000000005</v>
      </c>
      <c r="I116" s="71">
        <f>SUM(I114:I115)</f>
        <v>1269.3</v>
      </c>
    </row>
    <row r="117" spans="1:9" x14ac:dyDescent="0.25">
      <c r="A117" s="308" t="s">
        <v>110</v>
      </c>
      <c r="B117" s="309"/>
      <c r="C117" s="309"/>
      <c r="D117" s="309"/>
      <c r="E117" s="70">
        <f>E116*E24</f>
        <v>2876</v>
      </c>
      <c r="F117" s="70">
        <f>F116*F24</f>
        <v>12654.4</v>
      </c>
      <c r="G117" s="70">
        <f>G116*G23</f>
        <v>39688.800000000003</v>
      </c>
      <c r="H117" s="70">
        <f>H116*H23</f>
        <v>205346.4</v>
      </c>
      <c r="I117" s="71">
        <f>I116*I24</f>
        <v>1269.3</v>
      </c>
    </row>
    <row r="118" spans="1:9" x14ac:dyDescent="0.25">
      <c r="A118" s="310" t="s">
        <v>111</v>
      </c>
      <c r="B118" s="206"/>
      <c r="C118" s="206"/>
      <c r="D118" s="206"/>
      <c r="E118" s="336">
        <f>SUM(E117:I117)</f>
        <v>261834.9</v>
      </c>
      <c r="F118" s="336"/>
      <c r="G118" s="336"/>
      <c r="H118" s="336"/>
      <c r="I118" s="337"/>
    </row>
    <row r="119" spans="1:9" x14ac:dyDescent="0.25">
      <c r="A119" s="331"/>
      <c r="B119" s="222"/>
      <c r="C119" s="222"/>
      <c r="D119" s="222"/>
      <c r="E119" s="222"/>
      <c r="F119" s="222"/>
      <c r="G119" s="222"/>
      <c r="H119" s="222"/>
      <c r="I119" s="332"/>
    </row>
    <row r="120" spans="1:9" ht="21" customHeight="1" x14ac:dyDescent="0.25">
      <c r="A120" s="305" t="s">
        <v>105</v>
      </c>
      <c r="B120" s="306"/>
      <c r="C120" s="72" t="s">
        <v>70</v>
      </c>
      <c r="D120" s="26" t="s">
        <v>106</v>
      </c>
      <c r="E120" s="311" t="s">
        <v>138</v>
      </c>
      <c r="F120" s="312"/>
      <c r="G120" s="312"/>
      <c r="H120" s="312"/>
      <c r="I120" s="313"/>
    </row>
    <row r="121" spans="1:9" x14ac:dyDescent="0.25">
      <c r="A121" s="301" t="s">
        <v>107</v>
      </c>
      <c r="B121" s="302"/>
      <c r="C121" s="22">
        <v>10</v>
      </c>
      <c r="D121" s="69">
        <v>0.5</v>
      </c>
      <c r="E121" s="70">
        <f>E106*$C$121</f>
        <v>119.8</v>
      </c>
      <c r="F121" s="70">
        <f>F106*$C$121</f>
        <v>119.8</v>
      </c>
      <c r="G121" s="70">
        <f>G106*$C$121</f>
        <v>119.8</v>
      </c>
      <c r="H121" s="70">
        <f>H106*$C$121</f>
        <v>119.8</v>
      </c>
      <c r="I121" s="71">
        <f>I106*$C$121</f>
        <v>264.3</v>
      </c>
    </row>
    <row r="122" spans="1:9" x14ac:dyDescent="0.25">
      <c r="A122" s="301"/>
      <c r="B122" s="302"/>
      <c r="C122" s="22">
        <v>10</v>
      </c>
      <c r="D122" s="69">
        <v>1</v>
      </c>
      <c r="E122" s="70">
        <f>$C$122*E107</f>
        <v>159.69999999999999</v>
      </c>
      <c r="F122" s="70">
        <f>$C$122*F107</f>
        <v>159.69999999999999</v>
      </c>
      <c r="G122" s="70">
        <f>$C$122*G107</f>
        <v>159.69999999999999</v>
      </c>
      <c r="H122" s="70">
        <f>$C$122*H107</f>
        <v>159.69999999999999</v>
      </c>
      <c r="I122" s="71">
        <f>$C$122*I107</f>
        <v>352.4</v>
      </c>
    </row>
    <row r="123" spans="1:9" x14ac:dyDescent="0.25">
      <c r="A123" s="301" t="s">
        <v>108</v>
      </c>
      <c r="B123" s="302"/>
      <c r="C123" s="22">
        <v>10</v>
      </c>
      <c r="D123" s="69">
        <v>0.5</v>
      </c>
      <c r="E123" s="70">
        <f>$C$123*E108</f>
        <v>246.5</v>
      </c>
      <c r="F123" s="70">
        <f>$C$123*F108</f>
        <v>246.5</v>
      </c>
      <c r="G123" s="70">
        <f>$C$123*G108</f>
        <v>246.5</v>
      </c>
      <c r="H123" s="70">
        <f>$C$123*H108</f>
        <v>246.5</v>
      </c>
      <c r="I123" s="71">
        <f>$C$123*I108</f>
        <v>544</v>
      </c>
    </row>
    <row r="124" spans="1:9" x14ac:dyDescent="0.25">
      <c r="A124" s="301"/>
      <c r="B124" s="302"/>
      <c r="C124" s="22">
        <f>C122</f>
        <v>10</v>
      </c>
      <c r="D124" s="69">
        <v>1</v>
      </c>
      <c r="E124" s="70">
        <f>$C$124*E109</f>
        <v>328.7</v>
      </c>
      <c r="F124" s="70">
        <f>$C$124*F109</f>
        <v>328.7</v>
      </c>
      <c r="G124" s="70">
        <f>$C$124*G109</f>
        <v>328.7</v>
      </c>
      <c r="H124" s="70">
        <f>$C$124*H109</f>
        <v>328.7</v>
      </c>
      <c r="I124" s="71">
        <f>$C$124*I109</f>
        <v>725.3</v>
      </c>
    </row>
    <row r="125" spans="1:9" x14ac:dyDescent="0.25">
      <c r="A125" s="308" t="s">
        <v>109</v>
      </c>
      <c r="B125" s="309"/>
      <c r="C125" s="309"/>
      <c r="D125" s="309"/>
      <c r="E125" s="70">
        <f>SUM(E123:E124)</f>
        <v>575.20000000000005</v>
      </c>
      <c r="F125" s="70">
        <f>SUM(F123:F124)</f>
        <v>575.20000000000005</v>
      </c>
      <c r="G125" s="70">
        <f>SUM(G123:G124)</f>
        <v>575.20000000000005</v>
      </c>
      <c r="H125" s="70">
        <f>SUM(H123:H124)</f>
        <v>575.20000000000005</v>
      </c>
      <c r="I125" s="71">
        <f>SUM(I123:I124)</f>
        <v>1269.3</v>
      </c>
    </row>
    <row r="126" spans="1:9" ht="15" customHeight="1" x14ac:dyDescent="0.25">
      <c r="A126" s="308" t="s">
        <v>110</v>
      </c>
      <c r="B126" s="309"/>
      <c r="C126" s="309"/>
      <c r="D126" s="309"/>
      <c r="E126" s="70">
        <f>E125*E24</f>
        <v>2876</v>
      </c>
      <c r="F126" s="70">
        <f>F125*F24</f>
        <v>12654.4</v>
      </c>
      <c r="G126" s="70">
        <v>0</v>
      </c>
      <c r="H126" s="70">
        <f>H125*H24</f>
        <v>0</v>
      </c>
      <c r="I126" s="71">
        <f>I125*I24</f>
        <v>1269.3</v>
      </c>
    </row>
    <row r="127" spans="1:9" ht="15" customHeight="1" thickBot="1" x14ac:dyDescent="0.3">
      <c r="A127" s="314" t="s">
        <v>111</v>
      </c>
      <c r="B127" s="315"/>
      <c r="C127" s="315"/>
      <c r="D127" s="315"/>
      <c r="E127" s="281">
        <f>SUM(E126:I126)</f>
        <v>16799.7</v>
      </c>
      <c r="F127" s="281"/>
      <c r="G127" s="281"/>
      <c r="H127" s="281"/>
      <c r="I127" s="282"/>
    </row>
    <row r="128" spans="1:9" ht="15" customHeight="1" x14ac:dyDescent="0.25">
      <c r="A128" s="73"/>
      <c r="B128" s="73"/>
      <c r="C128" s="73"/>
      <c r="D128" s="73"/>
      <c r="E128" s="73"/>
      <c r="F128" s="73"/>
      <c r="G128" s="73"/>
      <c r="H128" s="73"/>
      <c r="I128" s="73"/>
    </row>
    <row r="129" spans="1:15" ht="15" customHeight="1" thickBot="1" x14ac:dyDescent="0.3">
      <c r="A129" s="73"/>
      <c r="B129" s="73"/>
      <c r="C129" s="73"/>
      <c r="D129" s="73"/>
      <c r="E129" s="73"/>
      <c r="F129" s="73"/>
      <c r="G129" s="73"/>
      <c r="H129" s="73"/>
      <c r="I129" s="73"/>
    </row>
    <row r="130" spans="1:15" ht="16.5" customHeight="1" thickBot="1" x14ac:dyDescent="0.3">
      <c r="A130" s="189" t="s">
        <v>233</v>
      </c>
      <c r="B130" s="190"/>
      <c r="C130" s="190"/>
      <c r="D130" s="190"/>
      <c r="E130" s="190"/>
      <c r="F130" s="190"/>
      <c r="G130" s="190"/>
      <c r="H130" s="190"/>
      <c r="I130" s="191"/>
    </row>
    <row r="131" spans="1:15" ht="16.5" customHeight="1" thickBot="1" x14ac:dyDescent="0.3">
      <c r="A131" s="194" t="s">
        <v>2</v>
      </c>
      <c r="B131" s="195"/>
      <c r="C131" s="187" t="s">
        <v>147</v>
      </c>
      <c r="D131" s="188"/>
      <c r="E131" s="74" t="s">
        <v>206</v>
      </c>
      <c r="F131" s="75">
        <f>'Kit Ferramentas'!E8</f>
        <v>23678.31</v>
      </c>
      <c r="G131" s="76"/>
      <c r="H131" s="74" t="s">
        <v>141</v>
      </c>
      <c r="I131" s="77">
        <f>F131*(1+D42)</f>
        <v>29013.03</v>
      </c>
    </row>
    <row r="132" spans="1:15" ht="15" customHeight="1" x14ac:dyDescent="0.25">
      <c r="I132" s="4"/>
      <c r="O132" s="3"/>
    </row>
    <row r="133" spans="1:15" ht="21.6" customHeight="1" x14ac:dyDescent="0.25">
      <c r="A133" s="180" t="s">
        <v>264</v>
      </c>
      <c r="B133" s="180"/>
      <c r="C133" s="180"/>
      <c r="D133" s="180"/>
      <c r="E133" s="180"/>
      <c r="F133" s="180"/>
      <c r="G133" s="180"/>
      <c r="H133" s="180"/>
      <c r="I133" s="180"/>
    </row>
    <row r="134" spans="1:15" ht="15" customHeight="1" x14ac:dyDescent="0.25">
      <c r="A134" s="304" t="s">
        <v>1</v>
      </c>
      <c r="B134" s="304"/>
      <c r="C134" s="304"/>
      <c r="D134" s="304"/>
      <c r="E134" s="304"/>
      <c r="F134" s="304"/>
      <c r="G134" s="304"/>
      <c r="H134" s="304"/>
      <c r="I134" s="304"/>
    </row>
    <row r="135" spans="1:15" ht="15" customHeight="1" x14ac:dyDescent="0.25">
      <c r="A135" s="304" t="s">
        <v>112</v>
      </c>
      <c r="B135" s="304"/>
      <c r="C135" s="304"/>
      <c r="D135" s="304"/>
      <c r="E135" s="304"/>
      <c r="F135" s="304"/>
      <c r="G135" s="304"/>
      <c r="H135" s="304"/>
      <c r="I135" s="304"/>
    </row>
    <row r="136" spans="1:15" ht="39.75" customHeight="1" x14ac:dyDescent="0.25">
      <c r="A136" s="307" t="s">
        <v>113</v>
      </c>
      <c r="B136" s="307"/>
      <c r="C136" s="307"/>
      <c r="D136" s="307"/>
      <c r="E136" s="307"/>
      <c r="F136" s="307"/>
      <c r="G136" s="307"/>
      <c r="H136" s="307"/>
      <c r="I136" s="307"/>
    </row>
    <row r="137" spans="1:15" ht="15" customHeight="1" x14ac:dyDescent="0.25">
      <c r="A137" s="304" t="s">
        <v>114</v>
      </c>
      <c r="B137" s="304"/>
      <c r="C137" s="304"/>
      <c r="D137" s="304"/>
      <c r="E137" s="304"/>
      <c r="F137" s="304"/>
      <c r="G137" s="304"/>
      <c r="H137" s="304"/>
      <c r="I137" s="304"/>
    </row>
    <row r="138" spans="1:15" ht="15" customHeight="1" x14ac:dyDescent="0.25">
      <c r="A138" s="304" t="s">
        <v>0</v>
      </c>
      <c r="B138" s="304"/>
      <c r="C138" s="304"/>
      <c r="D138" s="304"/>
      <c r="E138" s="304"/>
      <c r="F138" s="304"/>
      <c r="G138" s="304"/>
      <c r="H138" s="304"/>
      <c r="I138" s="304"/>
    </row>
    <row r="139" spans="1:15" ht="24.6" customHeight="1" x14ac:dyDescent="0.25">
      <c r="A139" s="307" t="s">
        <v>115</v>
      </c>
      <c r="B139" s="307"/>
      <c r="C139" s="307"/>
      <c r="D139" s="307"/>
      <c r="E139" s="307"/>
      <c r="F139" s="307"/>
      <c r="G139" s="307"/>
      <c r="H139" s="307"/>
      <c r="I139" s="307"/>
    </row>
    <row r="140" spans="1:15" ht="39" customHeight="1" x14ac:dyDescent="0.25">
      <c r="A140" s="180" t="s">
        <v>265</v>
      </c>
      <c r="B140" s="180"/>
      <c r="C140" s="180"/>
      <c r="D140" s="180"/>
      <c r="E140" s="180"/>
      <c r="F140" s="180"/>
      <c r="G140" s="180"/>
      <c r="H140" s="180"/>
      <c r="I140" s="180"/>
    </row>
    <row r="141" spans="1:15" ht="35.25" customHeight="1" x14ac:dyDescent="0.25">
      <c r="A141" s="307" t="s">
        <v>246</v>
      </c>
      <c r="B141" s="307"/>
      <c r="C141" s="307"/>
      <c r="D141" s="307"/>
      <c r="E141" s="307"/>
      <c r="F141" s="307"/>
      <c r="G141" s="307"/>
      <c r="H141" s="307"/>
      <c r="I141" s="307"/>
    </row>
    <row r="142" spans="1:15" ht="41.25" customHeight="1" x14ac:dyDescent="0.25">
      <c r="A142" s="307"/>
      <c r="B142" s="307"/>
      <c r="C142" s="307"/>
      <c r="D142" s="307"/>
      <c r="E142" s="307"/>
      <c r="F142" s="307"/>
      <c r="G142" s="307"/>
      <c r="H142" s="307"/>
      <c r="I142" s="307"/>
    </row>
    <row r="143" spans="1:15" ht="24.75" customHeight="1" x14ac:dyDescent="0.25">
      <c r="A143" s="304" t="s">
        <v>247</v>
      </c>
      <c r="B143" s="304"/>
      <c r="C143" s="304"/>
      <c r="D143" s="304"/>
      <c r="E143" s="304"/>
      <c r="F143" s="304"/>
      <c r="G143" s="304"/>
      <c r="H143" s="304"/>
      <c r="I143" s="304"/>
    </row>
    <row r="144" spans="1:15" ht="18.600000000000001" customHeight="1" x14ac:dyDescent="0.25">
      <c r="A144" s="307" t="s">
        <v>116</v>
      </c>
      <c r="B144" s="307"/>
      <c r="C144" s="307"/>
      <c r="D144" s="307"/>
      <c r="E144" s="307"/>
      <c r="F144" s="307"/>
      <c r="G144" s="307"/>
      <c r="H144" s="307"/>
      <c r="I144" s="307"/>
    </row>
    <row r="145" spans="1:10" ht="36.75" customHeight="1" x14ac:dyDescent="0.25">
      <c r="A145" s="78" t="s">
        <v>117</v>
      </c>
      <c r="B145" s="318" t="s">
        <v>118</v>
      </c>
      <c r="C145" s="318"/>
      <c r="D145" s="159" t="s">
        <v>119</v>
      </c>
      <c r="E145" s="159"/>
      <c r="F145" s="159"/>
      <c r="G145" s="159"/>
      <c r="H145" s="159"/>
      <c r="I145" s="159"/>
    </row>
    <row r="146" spans="1:10" ht="23.25" customHeight="1" x14ac:dyDescent="0.25">
      <c r="A146" s="78"/>
      <c r="B146" s="79"/>
      <c r="C146" s="79"/>
      <c r="D146" s="157" t="s">
        <v>120</v>
      </c>
      <c r="E146" s="157"/>
      <c r="F146" s="157"/>
      <c r="G146" s="157"/>
      <c r="H146" s="157"/>
      <c r="I146" s="157"/>
    </row>
    <row r="147" spans="1:10" ht="15.95" customHeight="1" x14ac:dyDescent="0.25">
      <c r="A147" s="297" t="s">
        <v>266</v>
      </c>
      <c r="B147" s="297"/>
      <c r="C147" s="297"/>
      <c r="D147" s="297"/>
      <c r="E147" s="297"/>
      <c r="F147" s="297"/>
      <c r="G147" s="297"/>
      <c r="H147" s="297"/>
      <c r="I147" s="297"/>
    </row>
    <row r="148" spans="1:10" ht="16.5" customHeight="1" x14ac:dyDescent="0.25">
      <c r="A148" s="297" t="s">
        <v>267</v>
      </c>
      <c r="B148" s="297"/>
      <c r="C148" s="297"/>
      <c r="D148" s="297"/>
      <c r="E148" s="297"/>
      <c r="F148" s="297"/>
      <c r="G148" s="297"/>
      <c r="H148" s="297"/>
      <c r="I148" s="297"/>
    </row>
    <row r="149" spans="1:10" ht="19.5" customHeight="1" x14ac:dyDescent="0.25">
      <c r="A149" s="316" t="s">
        <v>268</v>
      </c>
      <c r="B149" s="316"/>
      <c r="C149" s="316"/>
      <c r="D149" s="316"/>
      <c r="E149" s="316"/>
      <c r="F149" s="316"/>
      <c r="G149" s="316"/>
      <c r="H149" s="316"/>
      <c r="I149" s="316"/>
    </row>
    <row r="150" spans="1:10" ht="33.6" customHeight="1" x14ac:dyDescent="0.25">
      <c r="A150" s="323" t="s">
        <v>269</v>
      </c>
      <c r="B150" s="323"/>
      <c r="C150" s="323"/>
      <c r="D150" s="323"/>
      <c r="E150" s="323"/>
      <c r="F150" s="323"/>
      <c r="G150" s="323"/>
      <c r="H150" s="323"/>
      <c r="I150" s="323"/>
    </row>
    <row r="151" spans="1:10" ht="23.25" customHeight="1" x14ac:dyDescent="0.25">
      <c r="A151" s="316" t="s">
        <v>270</v>
      </c>
      <c r="B151" s="316"/>
      <c r="C151" s="316"/>
      <c r="D151" s="316"/>
      <c r="E151" s="316"/>
      <c r="F151" s="316"/>
      <c r="G151" s="316"/>
      <c r="H151" s="316"/>
      <c r="I151" s="316"/>
    </row>
    <row r="152" spans="1:10" ht="21.75" customHeight="1" x14ac:dyDescent="0.25">
      <c r="A152" s="317" t="s">
        <v>271</v>
      </c>
      <c r="B152" s="317"/>
      <c r="C152" s="317"/>
      <c r="D152" s="317"/>
      <c r="E152" s="317"/>
      <c r="F152" s="317"/>
      <c r="G152" s="317"/>
      <c r="H152" s="317"/>
      <c r="I152" s="317"/>
      <c r="J152" s="317"/>
    </row>
    <row r="153" spans="1:10" ht="21" customHeight="1" x14ac:dyDescent="0.25">
      <c r="A153" s="297" t="s">
        <v>272</v>
      </c>
      <c r="B153" s="297"/>
      <c r="C153" s="297"/>
      <c r="D153" s="297"/>
      <c r="E153" s="297"/>
      <c r="F153" s="297"/>
      <c r="G153" s="297"/>
      <c r="H153" s="297"/>
      <c r="I153" s="297"/>
    </row>
    <row r="154" spans="1:10" ht="24.75" customHeight="1" x14ac:dyDescent="0.25">
      <c r="A154" s="180" t="s">
        <v>273</v>
      </c>
      <c r="B154" s="180"/>
      <c r="C154" s="180"/>
      <c r="D154" s="180"/>
      <c r="E154" s="180"/>
      <c r="F154" s="180"/>
      <c r="G154" s="180"/>
      <c r="H154" s="180"/>
      <c r="I154" s="180"/>
    </row>
    <row r="155" spans="1:10" ht="24.75" customHeight="1" x14ac:dyDescent="0.25">
      <c r="A155" s="180" t="s">
        <v>274</v>
      </c>
      <c r="B155" s="180"/>
      <c r="C155" s="180"/>
      <c r="D155" s="180"/>
      <c r="E155" s="180"/>
      <c r="F155" s="180"/>
      <c r="G155" s="180"/>
      <c r="H155" s="180"/>
      <c r="I155" s="180"/>
    </row>
    <row r="156" spans="1:10" ht="17.25" customHeight="1" x14ac:dyDescent="0.25"/>
    <row r="157" spans="1:10" ht="21" customHeight="1" x14ac:dyDescent="0.25"/>
    <row r="158" spans="1:10" ht="25.5" customHeight="1" x14ac:dyDescent="0.25"/>
    <row r="159" spans="1:10" ht="27" customHeight="1" x14ac:dyDescent="0.25"/>
    <row r="160" spans="1:10" ht="45" customHeight="1" x14ac:dyDescent="0.25"/>
    <row r="161" ht="16.5" customHeight="1" x14ac:dyDescent="0.25"/>
    <row r="162" ht="29.25" customHeight="1" x14ac:dyDescent="0.25"/>
    <row r="163" ht="33.75" customHeight="1" x14ac:dyDescent="0.25"/>
    <row r="164" ht="36.75" customHeight="1" x14ac:dyDescent="0.25"/>
  </sheetData>
  <mergeCells count="162">
    <mergeCell ref="A49:D49"/>
    <mergeCell ref="A78:I78"/>
    <mergeCell ref="A77:I77"/>
    <mergeCell ref="A69:D69"/>
    <mergeCell ref="A59:I59"/>
    <mergeCell ref="C75:D75"/>
    <mergeCell ref="C76:D76"/>
    <mergeCell ref="E60:H60"/>
    <mergeCell ref="A62:D62"/>
    <mergeCell ref="B63:C63"/>
    <mergeCell ref="C74:D74"/>
    <mergeCell ref="A150:I150"/>
    <mergeCell ref="B64:C64"/>
    <mergeCell ref="C73:D73"/>
    <mergeCell ref="A73:B76"/>
    <mergeCell ref="A126:D126"/>
    <mergeCell ref="A119:I119"/>
    <mergeCell ref="E95:H95"/>
    <mergeCell ref="A116:D116"/>
    <mergeCell ref="A94:I94"/>
    <mergeCell ref="B66:C66"/>
    <mergeCell ref="A125:D125"/>
    <mergeCell ref="E120:I120"/>
    <mergeCell ref="E118:I118"/>
    <mergeCell ref="A110:I110"/>
    <mergeCell ref="B65:C65"/>
    <mergeCell ref="E127:I127"/>
    <mergeCell ref="A139:I139"/>
    <mergeCell ref="A140:I140"/>
    <mergeCell ref="A141:I142"/>
    <mergeCell ref="A147:I147"/>
    <mergeCell ref="A143:I143"/>
    <mergeCell ref="A148:I148"/>
    <mergeCell ref="A144:I144"/>
    <mergeCell ref="D145:I145"/>
    <mergeCell ref="D146:I146"/>
    <mergeCell ref="B145:C145"/>
    <mergeCell ref="A93:I93"/>
    <mergeCell ref="E99:I99"/>
    <mergeCell ref="A103:I103"/>
    <mergeCell ref="A102:I102"/>
    <mergeCell ref="A99:D99"/>
    <mergeCell ref="A114:B115"/>
    <mergeCell ref="A111:B111"/>
    <mergeCell ref="A154:I154"/>
    <mergeCell ref="A153:I153"/>
    <mergeCell ref="E104:H104"/>
    <mergeCell ref="A112:B113"/>
    <mergeCell ref="A105:C105"/>
    <mergeCell ref="A134:I134"/>
    <mergeCell ref="A120:B120"/>
    <mergeCell ref="A123:B124"/>
    <mergeCell ref="A135:I135"/>
    <mergeCell ref="A136:I136"/>
    <mergeCell ref="A108:C109"/>
    <mergeCell ref="A133:I133"/>
    <mergeCell ref="A117:D117"/>
    <mergeCell ref="A118:D118"/>
    <mergeCell ref="E111:I111"/>
    <mergeCell ref="A127:D127"/>
    <mergeCell ref="A104:D104"/>
    <mergeCell ref="A106:C107"/>
    <mergeCell ref="A151:I151"/>
    <mergeCell ref="A137:I137"/>
    <mergeCell ref="A138:I138"/>
    <mergeCell ref="A121:B122"/>
    <mergeCell ref="A152:J152"/>
    <mergeCell ref="A149:I149"/>
    <mergeCell ref="B34:D34"/>
    <mergeCell ref="A35:I35"/>
    <mergeCell ref="B37:C37"/>
    <mergeCell ref="B45:D45"/>
    <mergeCell ref="A47:D47"/>
    <mergeCell ref="A70:B72"/>
    <mergeCell ref="B36:C36"/>
    <mergeCell ref="A80:I80"/>
    <mergeCell ref="A81:I81"/>
    <mergeCell ref="A52:D52"/>
    <mergeCell ref="E53:I53"/>
    <mergeCell ref="A58:I58"/>
    <mergeCell ref="A53:D53"/>
    <mergeCell ref="A60:D61"/>
    <mergeCell ref="A43:I43"/>
    <mergeCell ref="A36:A42"/>
    <mergeCell ref="B38:B41"/>
    <mergeCell ref="A79:I79"/>
    <mergeCell ref="A57:I57"/>
    <mergeCell ref="A51:D51"/>
    <mergeCell ref="A48:D48"/>
    <mergeCell ref="E49:I49"/>
    <mergeCell ref="A56:I56"/>
    <mergeCell ref="A50:I50"/>
    <mergeCell ref="I84:I85"/>
    <mergeCell ref="A82:I82"/>
    <mergeCell ref="E83:I83"/>
    <mergeCell ref="E84:H84"/>
    <mergeCell ref="A83:D86"/>
    <mergeCell ref="A87:D87"/>
    <mergeCell ref="E85:H85"/>
    <mergeCell ref="A98:D98"/>
    <mergeCell ref="A91:I91"/>
    <mergeCell ref="E88:I88"/>
    <mergeCell ref="A97:D97"/>
    <mergeCell ref="A95:D96"/>
    <mergeCell ref="A88:D88"/>
    <mergeCell ref="A92:I92"/>
    <mergeCell ref="A1:I1"/>
    <mergeCell ref="A2:I2"/>
    <mergeCell ref="A3:I3"/>
    <mergeCell ref="A4:I4"/>
    <mergeCell ref="E9:H9"/>
    <mergeCell ref="E16:H16"/>
    <mergeCell ref="E10:H10"/>
    <mergeCell ref="E14:H14"/>
    <mergeCell ref="A5:I5"/>
    <mergeCell ref="E11:H11"/>
    <mergeCell ref="E12:H12"/>
    <mergeCell ref="A9:B9"/>
    <mergeCell ref="A10:B10"/>
    <mergeCell ref="A11:B11"/>
    <mergeCell ref="A12:B12"/>
    <mergeCell ref="E15:H15"/>
    <mergeCell ref="A16:B16"/>
    <mergeCell ref="E13:H13"/>
    <mergeCell ref="B6:F6"/>
    <mergeCell ref="G6:H6"/>
    <mergeCell ref="G7:I7"/>
    <mergeCell ref="B7:F7"/>
    <mergeCell ref="A155:I155"/>
    <mergeCell ref="B33:I33"/>
    <mergeCell ref="A63:A68"/>
    <mergeCell ref="A45:A46"/>
    <mergeCell ref="B46:D46"/>
    <mergeCell ref="C131:D131"/>
    <mergeCell ref="A130:I130"/>
    <mergeCell ref="C18:D18"/>
    <mergeCell ref="A131:B131"/>
    <mergeCell ref="B25:D25"/>
    <mergeCell ref="A22:D22"/>
    <mergeCell ref="A18:B18"/>
    <mergeCell ref="B32:D32"/>
    <mergeCell ref="A44:I44"/>
    <mergeCell ref="A25:A34"/>
    <mergeCell ref="B28:I28"/>
    <mergeCell ref="C24:D24"/>
    <mergeCell ref="B27:D27"/>
    <mergeCell ref="B30:D30"/>
    <mergeCell ref="B31:D31"/>
    <mergeCell ref="B29:D29"/>
    <mergeCell ref="B42:C42"/>
    <mergeCell ref="B67:C67"/>
    <mergeCell ref="B68:C68"/>
    <mergeCell ref="E18:H18"/>
    <mergeCell ref="A23:B24"/>
    <mergeCell ref="A8:I8"/>
    <mergeCell ref="B26:C26"/>
    <mergeCell ref="A19:I19"/>
    <mergeCell ref="C23:D23"/>
    <mergeCell ref="E20:H20"/>
    <mergeCell ref="E17:H17"/>
    <mergeCell ref="A17:B17"/>
    <mergeCell ref="A20:D2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2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0"/>
    <pageSetUpPr fitToPage="1"/>
  </sheetPr>
  <dimension ref="A1:D61"/>
  <sheetViews>
    <sheetView showGridLines="0" view="pageBreakPreview" zoomScale="95" zoomScaleNormal="160" zoomScaleSheetLayoutView="95" workbookViewId="0">
      <selection activeCell="A37" sqref="A37:D38"/>
    </sheetView>
  </sheetViews>
  <sheetFormatPr defaultRowHeight="12.75" customHeight="1" x14ac:dyDescent="0.25"/>
  <cols>
    <col min="1" max="1" width="45.140625" style="12" bestFit="1" customWidth="1"/>
    <col min="2" max="2" width="43.5703125" style="12" bestFit="1" customWidth="1"/>
    <col min="3" max="3" width="20.140625" style="12" bestFit="1" customWidth="1"/>
    <col min="4" max="4" width="20.42578125" style="12" bestFit="1" customWidth="1"/>
    <col min="5" max="16384" width="9.140625" style="12"/>
  </cols>
  <sheetData>
    <row r="1" spans="1:4" ht="14.25" customHeight="1" x14ac:dyDescent="0.25">
      <c r="A1" s="347" t="s">
        <v>262</v>
      </c>
      <c r="B1" s="347"/>
      <c r="C1" s="347"/>
      <c r="D1" s="347"/>
    </row>
    <row r="2" spans="1:4" ht="15.75" customHeight="1" thickBot="1" x14ac:dyDescent="0.3">
      <c r="A2" s="350" t="s">
        <v>42</v>
      </c>
      <c r="B2" s="350"/>
      <c r="C2" s="350"/>
      <c r="D2" s="350"/>
    </row>
    <row r="3" spans="1:4" ht="13.5" customHeight="1" thickBot="1" x14ac:dyDescent="0.3">
      <c r="A3" s="123" t="s">
        <v>43</v>
      </c>
      <c r="B3" s="124"/>
      <c r="C3" s="348" t="s">
        <v>44</v>
      </c>
      <c r="D3" s="348"/>
    </row>
    <row r="4" spans="1:4" ht="19.5" customHeight="1" thickBot="1" x14ac:dyDescent="0.3">
      <c r="A4" s="125" t="s">
        <v>45</v>
      </c>
      <c r="B4" s="126"/>
      <c r="C4" s="362" t="s">
        <v>46</v>
      </c>
      <c r="D4" s="362"/>
    </row>
    <row r="5" spans="1:4" ht="15" customHeight="1" thickBot="1" x14ac:dyDescent="0.3">
      <c r="A5" s="363" t="s">
        <v>47</v>
      </c>
      <c r="B5" s="358" t="s">
        <v>48</v>
      </c>
      <c r="C5" s="348" t="s">
        <v>49</v>
      </c>
      <c r="D5" s="348"/>
    </row>
    <row r="6" spans="1:4" ht="15" customHeight="1" thickBot="1" x14ac:dyDescent="0.3">
      <c r="A6" s="363"/>
      <c r="B6" s="358"/>
      <c r="C6" s="127" t="s">
        <v>211</v>
      </c>
      <c r="D6" s="124" t="s">
        <v>212</v>
      </c>
    </row>
    <row r="7" spans="1:4" ht="14.25" customHeight="1" thickBot="1" x14ac:dyDescent="0.3">
      <c r="A7" s="359" t="s">
        <v>50</v>
      </c>
      <c r="B7" s="359"/>
      <c r="C7" s="128">
        <f>SUM(C8:C15)</f>
        <v>0.35820000000000002</v>
      </c>
      <c r="D7" s="129">
        <f>SUM(D8:D15)</f>
        <v>0.19800000000000001</v>
      </c>
    </row>
    <row r="8" spans="1:4" ht="15.75" customHeight="1" x14ac:dyDescent="0.25">
      <c r="A8" s="130">
        <v>1</v>
      </c>
      <c r="B8" s="131" t="s">
        <v>213</v>
      </c>
      <c r="C8" s="132">
        <v>0.2</v>
      </c>
      <c r="D8" s="133">
        <v>0</v>
      </c>
    </row>
    <row r="9" spans="1:4" ht="14.25" customHeight="1" x14ac:dyDescent="0.25">
      <c r="A9" s="130">
        <v>2</v>
      </c>
      <c r="B9" s="131" t="s">
        <v>55</v>
      </c>
      <c r="C9" s="132">
        <v>0.08</v>
      </c>
      <c r="D9" s="134">
        <v>0.08</v>
      </c>
    </row>
    <row r="10" spans="1:4" ht="14.25" customHeight="1" x14ac:dyDescent="0.25">
      <c r="A10" s="130">
        <v>3</v>
      </c>
      <c r="B10" s="131" t="s">
        <v>51</v>
      </c>
      <c r="C10" s="132">
        <v>1.4999999999999999E-2</v>
      </c>
      <c r="D10" s="134">
        <v>1.4999999999999999E-2</v>
      </c>
    </row>
    <row r="11" spans="1:4" ht="14.25" customHeight="1" x14ac:dyDescent="0.25">
      <c r="A11" s="130">
        <v>4</v>
      </c>
      <c r="B11" s="131" t="s">
        <v>52</v>
      </c>
      <c r="C11" s="132">
        <v>0.01</v>
      </c>
      <c r="D11" s="134">
        <v>0.01</v>
      </c>
    </row>
    <row r="12" spans="1:4" ht="14.25" customHeight="1" x14ac:dyDescent="0.25">
      <c r="A12" s="130">
        <v>5</v>
      </c>
      <c r="B12" s="131" t="s">
        <v>53</v>
      </c>
      <c r="C12" s="132">
        <v>2E-3</v>
      </c>
      <c r="D12" s="134">
        <v>2E-3</v>
      </c>
    </row>
    <row r="13" spans="1:4" ht="14.25" customHeight="1" x14ac:dyDescent="0.25">
      <c r="A13" s="130">
        <v>6</v>
      </c>
      <c r="B13" s="131" t="s">
        <v>54</v>
      </c>
      <c r="C13" s="132">
        <v>2.5000000000000001E-2</v>
      </c>
      <c r="D13" s="134">
        <v>2.5000000000000001E-2</v>
      </c>
    </row>
    <row r="14" spans="1:4" ht="14.25" customHeight="1" x14ac:dyDescent="0.25">
      <c r="A14" s="130">
        <v>7</v>
      </c>
      <c r="B14" s="131" t="s">
        <v>56</v>
      </c>
      <c r="C14" s="132">
        <v>6.0000000000000001E-3</v>
      </c>
      <c r="D14" s="134">
        <v>6.0000000000000001E-3</v>
      </c>
    </row>
    <row r="15" spans="1:4" ht="14.25" customHeight="1" thickBot="1" x14ac:dyDescent="0.3">
      <c r="A15" s="130">
        <v>8</v>
      </c>
      <c r="B15" s="135" t="s">
        <v>275</v>
      </c>
      <c r="C15" s="132">
        <v>2.0199999999999999E-2</v>
      </c>
      <c r="D15" s="134">
        <f>'[1]Mão de obra'!K9</f>
        <v>0.06</v>
      </c>
    </row>
    <row r="16" spans="1:4" ht="14.25" customHeight="1" thickBot="1" x14ac:dyDescent="0.3">
      <c r="A16" s="359" t="s">
        <v>57</v>
      </c>
      <c r="B16" s="359"/>
      <c r="C16" s="129">
        <f>SUM(C17:C25)</f>
        <v>0.22969999999999999</v>
      </c>
      <c r="D16" s="129">
        <f>SUM(D17:D25)</f>
        <v>0.22969999999999999</v>
      </c>
    </row>
    <row r="17" spans="1:4" ht="14.25" customHeight="1" x14ac:dyDescent="0.25">
      <c r="A17" s="130">
        <v>9</v>
      </c>
      <c r="B17" s="131" t="s">
        <v>276</v>
      </c>
      <c r="C17" s="132">
        <v>8.3299999999999999E-2</v>
      </c>
      <c r="D17" s="134">
        <v>8.3299999999999999E-2</v>
      </c>
    </row>
    <row r="18" spans="1:4" ht="14.25" customHeight="1" x14ac:dyDescent="0.25">
      <c r="A18" s="130">
        <v>10</v>
      </c>
      <c r="B18" s="131" t="s">
        <v>214</v>
      </c>
      <c r="C18" s="132">
        <v>8.3299999999999999E-2</v>
      </c>
      <c r="D18" s="134">
        <v>8.3299999999999999E-2</v>
      </c>
    </row>
    <row r="19" spans="1:4" ht="14.25" customHeight="1" x14ac:dyDescent="0.25">
      <c r="A19" s="130">
        <v>11</v>
      </c>
      <c r="B19" s="131" t="s">
        <v>58</v>
      </c>
      <c r="C19" s="132">
        <v>2.7799999999999998E-2</v>
      </c>
      <c r="D19" s="134">
        <v>2.7799999999999998E-2</v>
      </c>
    </row>
    <row r="20" spans="1:4" ht="14.25" customHeight="1" x14ac:dyDescent="0.25">
      <c r="A20" s="130">
        <v>12</v>
      </c>
      <c r="B20" s="131" t="s">
        <v>277</v>
      </c>
      <c r="C20" s="151">
        <v>1.9400000000000001E-2</v>
      </c>
      <c r="D20" s="152">
        <v>1.9400000000000001E-2</v>
      </c>
    </row>
    <row r="21" spans="1:4" ht="14.25" customHeight="1" x14ac:dyDescent="0.25">
      <c r="A21" s="130">
        <v>13</v>
      </c>
      <c r="B21" s="131" t="s">
        <v>59</v>
      </c>
      <c r="C21" s="132">
        <v>8.3000000000000001E-3</v>
      </c>
      <c r="D21" s="134">
        <v>8.3000000000000001E-3</v>
      </c>
    </row>
    <row r="22" spans="1:4" ht="14.25" customHeight="1" x14ac:dyDescent="0.25">
      <c r="A22" s="130">
        <v>14</v>
      </c>
      <c r="B22" s="131" t="s">
        <v>14</v>
      </c>
      <c r="C22" s="132">
        <v>3.3E-3</v>
      </c>
      <c r="D22" s="134">
        <v>3.3E-3</v>
      </c>
    </row>
    <row r="23" spans="1:4" ht="14.25" customHeight="1" x14ac:dyDescent="0.25">
      <c r="A23" s="130">
        <v>15</v>
      </c>
      <c r="B23" s="131" t="s">
        <v>61</v>
      </c>
      <c r="C23" s="132">
        <v>2.8E-3</v>
      </c>
      <c r="D23" s="134">
        <v>2.8E-3</v>
      </c>
    </row>
    <row r="24" spans="1:4" ht="14.25" customHeight="1" x14ac:dyDescent="0.25">
      <c r="A24" s="130">
        <v>16</v>
      </c>
      <c r="B24" s="136" t="s">
        <v>15</v>
      </c>
      <c r="C24" s="132">
        <v>6.9999999999999999E-4</v>
      </c>
      <c r="D24" s="134">
        <v>6.9999999999999999E-4</v>
      </c>
    </row>
    <row r="25" spans="1:4" ht="15" customHeight="1" thickBot="1" x14ac:dyDescent="0.3">
      <c r="A25" s="130">
        <v>17</v>
      </c>
      <c r="B25" s="136" t="s">
        <v>60</v>
      </c>
      <c r="C25" s="137">
        <v>8.0000000000000004E-4</v>
      </c>
      <c r="D25" s="138">
        <v>8.0000000000000004E-4</v>
      </c>
    </row>
    <row r="26" spans="1:4" ht="14.25" customHeight="1" thickBot="1" x14ac:dyDescent="0.3">
      <c r="A26" s="359" t="s">
        <v>62</v>
      </c>
      <c r="B26" s="359"/>
      <c r="C26" s="139">
        <f>SUM(C27:C28)</f>
        <v>0</v>
      </c>
      <c r="D26" s="139">
        <f>SUM(D27:D28)</f>
        <v>3.6200000000000003E-2</v>
      </c>
    </row>
    <row r="27" spans="1:4" ht="14.25" customHeight="1" x14ac:dyDescent="0.25">
      <c r="A27" s="130">
        <v>18</v>
      </c>
      <c r="B27" s="136" t="s">
        <v>63</v>
      </c>
      <c r="C27" s="132">
        <v>0</v>
      </c>
      <c r="D27" s="134">
        <v>4.1999999999999997E-3</v>
      </c>
    </row>
    <row r="28" spans="1:4" ht="15" customHeight="1" x14ac:dyDescent="0.25">
      <c r="A28" s="130">
        <v>19</v>
      </c>
      <c r="B28" s="131" t="s">
        <v>64</v>
      </c>
      <c r="C28" s="132">
        <v>0</v>
      </c>
      <c r="D28" s="134">
        <v>3.2000000000000001E-2</v>
      </c>
    </row>
    <row r="29" spans="1:4" ht="14.25" customHeight="1" x14ac:dyDescent="0.25">
      <c r="A29" s="359" t="s">
        <v>65</v>
      </c>
      <c r="B29" s="359"/>
      <c r="C29" s="140">
        <f>SUM(C30)</f>
        <v>9.1399999999999995E-2</v>
      </c>
      <c r="D29" s="141">
        <f>SUM(D30)</f>
        <v>0.05</v>
      </c>
    </row>
    <row r="30" spans="1:4" ht="15" customHeight="1" x14ac:dyDescent="0.25">
      <c r="A30" s="130">
        <v>21</v>
      </c>
      <c r="B30" s="136" t="s">
        <v>66</v>
      </c>
      <c r="C30" s="132">
        <v>9.1399999999999995E-2</v>
      </c>
      <c r="D30" s="134">
        <f>ROUND(D7*D16,2)</f>
        <v>0.05</v>
      </c>
    </row>
    <row r="31" spans="1:4" ht="14.25" customHeight="1" x14ac:dyDescent="0.25">
      <c r="A31" s="359" t="s">
        <v>67</v>
      </c>
      <c r="B31" s="359"/>
      <c r="C31" s="140">
        <f>C32</f>
        <v>2.9999999999999997E-4</v>
      </c>
      <c r="D31" s="141">
        <f>D32</f>
        <v>2.9999999999999997E-4</v>
      </c>
    </row>
    <row r="32" spans="1:4" ht="15" customHeight="1" x14ac:dyDescent="0.25">
      <c r="A32" s="130">
        <v>22</v>
      </c>
      <c r="B32" s="136" t="s">
        <v>16</v>
      </c>
      <c r="C32" s="132">
        <v>2.9999999999999997E-4</v>
      </c>
      <c r="D32" s="142">
        <v>2.9999999999999997E-4</v>
      </c>
    </row>
    <row r="33" spans="1:4" ht="15.75" customHeight="1" thickBot="1" x14ac:dyDescent="0.3">
      <c r="A33" s="360" t="s">
        <v>68</v>
      </c>
      <c r="B33" s="360"/>
      <c r="C33" s="143">
        <f>(C7+C16+C26+C29+C31)</f>
        <v>0.67959999999999998</v>
      </c>
      <c r="D33" s="144">
        <f>(D7+D16+D26+D29+D31)</f>
        <v>0.51419999999999999</v>
      </c>
    </row>
    <row r="34" spans="1:4" ht="26.25" customHeight="1" thickBot="1" x14ac:dyDescent="0.3">
      <c r="A34" s="364" t="s">
        <v>278</v>
      </c>
      <c r="B34" s="364"/>
      <c r="C34" s="145">
        <f>C17+C18+C19+SUM(C17:C19)*(C7/100)+C28</f>
        <v>0.1951</v>
      </c>
      <c r="D34" s="146">
        <f>D17+D18+D19+SUM(D17:D19)*(D7/100)+D28</f>
        <v>0.2268</v>
      </c>
    </row>
    <row r="35" spans="1:4" ht="14.25" customHeight="1" x14ac:dyDescent="0.25">
      <c r="A35" s="361"/>
      <c r="B35" s="361"/>
      <c r="C35" s="361"/>
      <c r="D35" s="361"/>
    </row>
    <row r="36" spans="1:4" ht="20.100000000000001" customHeight="1" x14ac:dyDescent="0.25">
      <c r="A36" s="357" t="s">
        <v>69</v>
      </c>
      <c r="B36" s="357"/>
      <c r="C36" s="357"/>
      <c r="D36" s="357"/>
    </row>
    <row r="37" spans="1:4" ht="20.100000000000001" customHeight="1" x14ac:dyDescent="0.25">
      <c r="A37" s="351" t="s">
        <v>290</v>
      </c>
      <c r="B37" s="352"/>
      <c r="C37" s="352"/>
      <c r="D37" s="353"/>
    </row>
    <row r="38" spans="1:4" ht="36.75" customHeight="1" thickBot="1" x14ac:dyDescent="0.3">
      <c r="A38" s="354"/>
      <c r="B38" s="355"/>
      <c r="C38" s="355"/>
      <c r="D38" s="356"/>
    </row>
    <row r="39" spans="1:4" ht="34.5" customHeight="1" x14ac:dyDescent="0.25">
      <c r="A39" s="349"/>
      <c r="B39" s="349"/>
      <c r="C39" s="349"/>
      <c r="D39" s="349"/>
    </row>
    <row r="40" spans="1:4" ht="37.5" customHeight="1" x14ac:dyDescent="0.25">
      <c r="A40" s="349"/>
      <c r="B40" s="349"/>
      <c r="C40" s="349"/>
      <c r="D40" s="349"/>
    </row>
    <row r="41" spans="1:4" ht="20.100000000000001" customHeight="1" x14ac:dyDescent="0.25">
      <c r="A41" s="147" t="s">
        <v>149</v>
      </c>
      <c r="B41" s="345" t="s">
        <v>150</v>
      </c>
      <c r="C41" s="345"/>
      <c r="D41" s="345"/>
    </row>
    <row r="42" spans="1:4" ht="12.75" customHeight="1" x14ac:dyDescent="0.25">
      <c r="A42" s="147" t="s">
        <v>151</v>
      </c>
      <c r="B42" s="345" t="s">
        <v>152</v>
      </c>
      <c r="C42" s="345"/>
      <c r="D42" s="345"/>
    </row>
    <row r="43" spans="1:4" ht="12.75" customHeight="1" x14ac:dyDescent="0.25">
      <c r="A43" s="147" t="s">
        <v>153</v>
      </c>
      <c r="B43" s="345" t="s">
        <v>154</v>
      </c>
      <c r="C43" s="345"/>
      <c r="D43" s="345"/>
    </row>
    <row r="44" spans="1:4" ht="12.75" customHeight="1" x14ac:dyDescent="0.25">
      <c r="A44" s="147" t="s">
        <v>155</v>
      </c>
      <c r="B44" s="345" t="s">
        <v>156</v>
      </c>
      <c r="C44" s="345"/>
      <c r="D44" s="345"/>
    </row>
    <row r="45" spans="1:4" ht="12.75" customHeight="1" x14ac:dyDescent="0.25">
      <c r="A45" s="147" t="s">
        <v>157</v>
      </c>
      <c r="B45" s="345" t="s">
        <v>158</v>
      </c>
      <c r="C45" s="345"/>
      <c r="D45" s="345"/>
    </row>
    <row r="46" spans="1:4" ht="10.5" customHeight="1" x14ac:dyDescent="0.25">
      <c r="A46" s="147" t="s">
        <v>159</v>
      </c>
      <c r="B46" s="345" t="s">
        <v>160</v>
      </c>
      <c r="C46" s="345"/>
      <c r="D46" s="345"/>
    </row>
    <row r="47" spans="1:4" ht="12.75" customHeight="1" x14ac:dyDescent="0.25">
      <c r="A47" s="147" t="s">
        <v>161</v>
      </c>
      <c r="B47" s="345" t="s">
        <v>162</v>
      </c>
      <c r="C47" s="345"/>
      <c r="D47" s="345"/>
    </row>
    <row r="48" spans="1:4" ht="12.75" customHeight="1" x14ac:dyDescent="0.25">
      <c r="A48" s="147" t="s">
        <v>163</v>
      </c>
      <c r="B48" s="343" t="s">
        <v>164</v>
      </c>
      <c r="C48" s="343"/>
      <c r="D48" s="343"/>
    </row>
    <row r="49" spans="1:4" ht="12.75" customHeight="1" x14ac:dyDescent="0.25">
      <c r="A49" s="147" t="s">
        <v>165</v>
      </c>
      <c r="B49" s="345" t="s">
        <v>166</v>
      </c>
      <c r="C49" s="345"/>
      <c r="D49" s="345"/>
    </row>
    <row r="50" spans="1:4" ht="12.75" customHeight="1" x14ac:dyDescent="0.25">
      <c r="A50" s="147" t="s">
        <v>167</v>
      </c>
      <c r="B50" s="344" t="s">
        <v>279</v>
      </c>
      <c r="C50" s="344"/>
      <c r="D50" s="344"/>
    </row>
    <row r="51" spans="1:4" ht="12.75" customHeight="1" x14ac:dyDescent="0.25">
      <c r="A51" s="147" t="s">
        <v>168</v>
      </c>
      <c r="B51" s="345" t="s">
        <v>169</v>
      </c>
      <c r="C51" s="345"/>
      <c r="D51" s="345"/>
    </row>
    <row r="52" spans="1:4" ht="53.25" customHeight="1" x14ac:dyDescent="0.25">
      <c r="A52" s="147" t="s">
        <v>170</v>
      </c>
      <c r="B52" s="345" t="s">
        <v>280</v>
      </c>
      <c r="C52" s="345"/>
      <c r="D52" s="345"/>
    </row>
    <row r="53" spans="1:4" ht="12.75" customHeight="1" x14ac:dyDescent="0.25">
      <c r="A53" s="148" t="s">
        <v>171</v>
      </c>
      <c r="B53" s="345" t="s">
        <v>281</v>
      </c>
      <c r="C53" s="345"/>
      <c r="D53" s="345"/>
    </row>
    <row r="54" spans="1:4" ht="66" customHeight="1" x14ac:dyDescent="0.25">
      <c r="A54" s="147" t="s">
        <v>172</v>
      </c>
      <c r="B54" s="345" t="s">
        <v>282</v>
      </c>
      <c r="C54" s="345"/>
      <c r="D54" s="345"/>
    </row>
    <row r="55" spans="1:4" ht="12.75" customHeight="1" x14ac:dyDescent="0.25">
      <c r="A55" s="147" t="s">
        <v>173</v>
      </c>
      <c r="B55" s="345" t="s">
        <v>283</v>
      </c>
      <c r="C55" s="345"/>
      <c r="D55" s="345"/>
    </row>
    <row r="56" spans="1:4" ht="37.5" customHeight="1" x14ac:dyDescent="0.25">
      <c r="A56" s="147" t="s">
        <v>174</v>
      </c>
      <c r="B56" s="345" t="s">
        <v>284</v>
      </c>
      <c r="C56" s="345"/>
      <c r="D56" s="345"/>
    </row>
    <row r="57" spans="1:4" ht="24.75" customHeight="1" x14ac:dyDescent="0.25">
      <c r="A57" s="147" t="s">
        <v>175</v>
      </c>
      <c r="B57" s="345" t="s">
        <v>285</v>
      </c>
      <c r="C57" s="345"/>
      <c r="D57" s="345"/>
    </row>
    <row r="58" spans="1:4" ht="12.75" customHeight="1" x14ac:dyDescent="0.25">
      <c r="A58" s="147" t="s">
        <v>176</v>
      </c>
      <c r="B58" s="346" t="s">
        <v>286</v>
      </c>
      <c r="C58" s="346"/>
      <c r="D58" s="346"/>
    </row>
    <row r="59" spans="1:4" ht="12.75" customHeight="1" x14ac:dyDescent="0.25">
      <c r="A59" s="147" t="s">
        <v>177</v>
      </c>
      <c r="B59" s="345" t="s">
        <v>178</v>
      </c>
      <c r="C59" s="345"/>
      <c r="D59" s="345"/>
    </row>
    <row r="60" spans="1:4" ht="12.75" customHeight="1" x14ac:dyDescent="0.25">
      <c r="A60" s="147" t="s">
        <v>179</v>
      </c>
      <c r="B60" s="343" t="s">
        <v>180</v>
      </c>
      <c r="C60" s="343"/>
      <c r="D60" s="343"/>
    </row>
    <row r="61" spans="1:4" ht="12.75" customHeight="1" x14ac:dyDescent="0.25">
      <c r="A61" s="147" t="s">
        <v>181</v>
      </c>
      <c r="B61" s="343" t="s">
        <v>182</v>
      </c>
      <c r="C61" s="343"/>
      <c r="D61" s="343"/>
    </row>
  </sheetData>
  <sheetProtection selectLockedCells="1" selectUnlockedCells="1"/>
  <mergeCells count="40">
    <mergeCell ref="B44:D44"/>
    <mergeCell ref="C4:D4"/>
    <mergeCell ref="A5:A6"/>
    <mergeCell ref="B48:D48"/>
    <mergeCell ref="B49:D49"/>
    <mergeCell ref="B42:D42"/>
    <mergeCell ref="B43:D43"/>
    <mergeCell ref="A34:B34"/>
    <mergeCell ref="B45:D45"/>
    <mergeCell ref="B46:D46"/>
    <mergeCell ref="B47:D47"/>
    <mergeCell ref="B41:D41"/>
    <mergeCell ref="A1:D1"/>
    <mergeCell ref="C5:D5"/>
    <mergeCell ref="A40:D40"/>
    <mergeCell ref="A2:D2"/>
    <mergeCell ref="C3:D3"/>
    <mergeCell ref="A37:D38"/>
    <mergeCell ref="A36:D36"/>
    <mergeCell ref="B5:B6"/>
    <mergeCell ref="A7:B7"/>
    <mergeCell ref="A16:B16"/>
    <mergeCell ref="A39:D39"/>
    <mergeCell ref="A26:B26"/>
    <mergeCell ref="A29:B29"/>
    <mergeCell ref="A31:B31"/>
    <mergeCell ref="A33:B33"/>
    <mergeCell ref="A35:D35"/>
    <mergeCell ref="B61:D61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60:D60"/>
    <mergeCell ref="B59:D59"/>
  </mergeCells>
  <phoneticPr fontId="0" type="noConversion"/>
  <printOptions horizontalCentered="1"/>
  <pageMargins left="0.5" right="0.51180555555555551" top="0.78749999999999998" bottom="0.78749999999999998" header="0.51180555555555551" footer="0.51180555555555551"/>
  <pageSetup paperSize="9" scale="70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9"/>
  </sheetPr>
  <dimension ref="A1:G9"/>
  <sheetViews>
    <sheetView showGridLines="0" view="pageBreakPreview" zoomScale="95" zoomScaleNormal="100" zoomScaleSheetLayoutView="95" workbookViewId="0">
      <selection activeCell="A8" sqref="A8:F8"/>
    </sheetView>
  </sheetViews>
  <sheetFormatPr defaultColWidth="10.28515625" defaultRowHeight="14.25" customHeight="1" x14ac:dyDescent="0.25"/>
  <cols>
    <col min="1" max="1" width="6.140625" style="3" bestFit="1" customWidth="1"/>
    <col min="2" max="2" width="14.7109375" style="3" customWidth="1"/>
    <col min="3" max="3" width="39.5703125" style="3" customWidth="1"/>
    <col min="4" max="4" width="12.28515625" style="3" bestFit="1" customWidth="1"/>
    <col min="5" max="5" width="13.140625" style="3" bestFit="1" customWidth="1"/>
    <col min="6" max="6" width="9.7109375" style="3" bestFit="1" customWidth="1"/>
    <col min="7" max="16384" width="10.28515625" style="3"/>
  </cols>
  <sheetData>
    <row r="1" spans="1:7" ht="31.5" customHeight="1" x14ac:dyDescent="0.25">
      <c r="A1" s="201" t="s">
        <v>209</v>
      </c>
      <c r="B1" s="201"/>
      <c r="C1" s="201"/>
      <c r="D1" s="201"/>
      <c r="E1" s="201"/>
      <c r="F1" s="201"/>
    </row>
    <row r="2" spans="1:7" ht="14.25" customHeight="1" x14ac:dyDescent="0.25">
      <c r="A2" s="368" t="s">
        <v>123</v>
      </c>
      <c r="B2" s="368"/>
      <c r="C2" s="368"/>
      <c r="D2" s="368"/>
      <c r="E2" s="368"/>
      <c r="F2" s="368"/>
    </row>
    <row r="3" spans="1:7" ht="14.25" customHeight="1" x14ac:dyDescent="0.25">
      <c r="A3" s="369" t="s">
        <v>121</v>
      </c>
      <c r="B3" s="369"/>
      <c r="C3" s="369"/>
      <c r="D3" s="369"/>
      <c r="E3" s="369"/>
      <c r="F3" s="369"/>
    </row>
    <row r="4" spans="1:7" ht="39.75" customHeight="1" x14ac:dyDescent="0.25">
      <c r="A4" s="38" t="s">
        <v>47</v>
      </c>
      <c r="B4" s="201" t="s">
        <v>74</v>
      </c>
      <c r="C4" s="201"/>
      <c r="D4" s="88" t="s">
        <v>70</v>
      </c>
      <c r="E4" s="119" t="s">
        <v>71</v>
      </c>
      <c r="F4" s="88" t="s">
        <v>72</v>
      </c>
    </row>
    <row r="5" spans="1:7" ht="40.5" customHeight="1" x14ac:dyDescent="0.25">
      <c r="A5" s="19" t="s">
        <v>122</v>
      </c>
      <c r="B5" s="370" t="s">
        <v>3</v>
      </c>
      <c r="C5" s="370"/>
      <c r="D5" s="51">
        <v>2</v>
      </c>
      <c r="E5" s="120">
        <f>Pesquisas!K6</f>
        <v>59.9</v>
      </c>
      <c r="F5" s="121">
        <f>D5*E5</f>
        <v>119.8</v>
      </c>
      <c r="G5" s="4"/>
    </row>
    <row r="6" spans="1:7" ht="52.5" customHeight="1" x14ac:dyDescent="0.25">
      <c r="A6" s="19" t="s">
        <v>77</v>
      </c>
      <c r="B6" s="366" t="s">
        <v>142</v>
      </c>
      <c r="C6" s="367"/>
      <c r="D6" s="51">
        <v>1</v>
      </c>
      <c r="E6" s="120">
        <f>Pesquisas!K9</f>
        <v>14.67</v>
      </c>
      <c r="F6" s="121">
        <f>D6*E6</f>
        <v>14.67</v>
      </c>
      <c r="G6" s="4"/>
    </row>
    <row r="7" spans="1:7" ht="30.75" customHeight="1" x14ac:dyDescent="0.25">
      <c r="A7" s="4"/>
      <c r="B7" s="4"/>
      <c r="C7" s="4"/>
      <c r="D7" s="4"/>
      <c r="E7" s="4"/>
      <c r="F7" s="122">
        <f>SUM(F5:F6)</f>
        <v>134.47</v>
      </c>
      <c r="G7" s="4"/>
    </row>
    <row r="8" spans="1:7" ht="36" customHeight="1" x14ac:dyDescent="0.25">
      <c r="A8" s="365"/>
      <c r="B8" s="365"/>
      <c r="C8" s="365"/>
      <c r="D8" s="365"/>
      <c r="E8" s="365"/>
      <c r="F8" s="365"/>
      <c r="G8" s="4"/>
    </row>
    <row r="9" spans="1:7" ht="39.75" customHeight="1" x14ac:dyDescent="0.25"/>
  </sheetData>
  <sheetProtection selectLockedCells="1" selectUnlockedCells="1"/>
  <mergeCells count="7">
    <mergeCell ref="A8:F8"/>
    <mergeCell ref="B6:C6"/>
    <mergeCell ref="A1:F1"/>
    <mergeCell ref="A2:F2"/>
    <mergeCell ref="A3:F3"/>
    <mergeCell ref="B4:C4"/>
    <mergeCell ref="B5:C5"/>
  </mergeCells>
  <phoneticPr fontId="0" type="noConversion"/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&amp;C&amp;"Arial,Normal"&amp;10&amp;A</oddHeader>
    <oddFooter>&amp;C&amp;"Arial,Normal"&amp;10Página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99CC"/>
  </sheetPr>
  <dimension ref="A1:E11"/>
  <sheetViews>
    <sheetView showGridLines="0" view="pageBreakPreview" zoomScale="95" zoomScaleNormal="130" zoomScaleSheetLayoutView="95" workbookViewId="0">
      <selection activeCell="I9" sqref="I9"/>
    </sheetView>
  </sheetViews>
  <sheetFormatPr defaultColWidth="10.42578125" defaultRowHeight="15.75" x14ac:dyDescent="0.25"/>
  <cols>
    <col min="1" max="1" width="30.28515625" style="3" customWidth="1"/>
    <col min="2" max="2" width="23.42578125" style="3" customWidth="1"/>
    <col min="3" max="3" width="13.7109375" style="3" bestFit="1" customWidth="1"/>
    <col min="4" max="4" width="20.140625" style="3" bestFit="1" customWidth="1"/>
    <col min="5" max="5" width="16.42578125" style="3" bestFit="1" customWidth="1"/>
    <col min="6" max="16384" width="10.42578125" style="3"/>
  </cols>
  <sheetData>
    <row r="1" spans="1:5" x14ac:dyDescent="0.25">
      <c r="A1" s="373" t="s">
        <v>210</v>
      </c>
      <c r="B1" s="373"/>
      <c r="C1" s="373"/>
      <c r="D1" s="373"/>
      <c r="E1" s="373"/>
    </row>
    <row r="2" spans="1:5" ht="15" customHeight="1" x14ac:dyDescent="0.25">
      <c r="A2" s="373" t="s">
        <v>80</v>
      </c>
      <c r="B2" s="373"/>
      <c r="C2" s="373"/>
      <c r="D2" s="373"/>
      <c r="E2" s="373"/>
    </row>
    <row r="3" spans="1:5" ht="15" customHeight="1" x14ac:dyDescent="0.25">
      <c r="A3" s="374" t="s">
        <v>78</v>
      </c>
      <c r="B3" s="374"/>
      <c r="C3" s="374"/>
      <c r="D3" s="374"/>
      <c r="E3" s="374"/>
    </row>
    <row r="4" spans="1:5" ht="25.5" customHeight="1" x14ac:dyDescent="0.25">
      <c r="A4" s="373"/>
      <c r="B4" s="373"/>
      <c r="C4" s="112" t="s">
        <v>70</v>
      </c>
      <c r="D4" s="112" t="s">
        <v>71</v>
      </c>
      <c r="E4" s="113" t="s">
        <v>72</v>
      </c>
    </row>
    <row r="5" spans="1:5" ht="33.75" customHeight="1" x14ac:dyDescent="0.25">
      <c r="A5" s="375" t="s">
        <v>4</v>
      </c>
      <c r="B5" s="375"/>
      <c r="C5" s="114">
        <f>SUM('Custos e preços'!E23:H23)</f>
        <v>453</v>
      </c>
      <c r="D5" s="115">
        <f>Pesquisas!K19</f>
        <v>12</v>
      </c>
      <c r="E5" s="116">
        <f>C5*D5</f>
        <v>5436</v>
      </c>
    </row>
    <row r="6" spans="1:5" ht="36" customHeight="1" x14ac:dyDescent="0.25">
      <c r="A6" s="375" t="s">
        <v>5</v>
      </c>
      <c r="B6" s="375"/>
      <c r="C6" s="114">
        <f>SUM('Custos e preços'!E23:H23)</f>
        <v>453</v>
      </c>
      <c r="D6" s="115">
        <f>Pesquisas!K22</f>
        <v>14</v>
      </c>
      <c r="E6" s="116">
        <f>C6*D6</f>
        <v>6342</v>
      </c>
    </row>
    <row r="7" spans="1:5" ht="32.25" customHeight="1" x14ac:dyDescent="0.25">
      <c r="A7" s="371" t="s">
        <v>6</v>
      </c>
      <c r="B7" s="371"/>
      <c r="C7" s="114">
        <f>SUM('Custos e preços'!E23:H23)</f>
        <v>453</v>
      </c>
      <c r="D7" s="115">
        <f>Pesquisas!K25</f>
        <v>26.27</v>
      </c>
      <c r="E7" s="116">
        <f>C7*D7</f>
        <v>11900.31</v>
      </c>
    </row>
    <row r="8" spans="1:5" ht="15" customHeight="1" x14ac:dyDescent="0.25">
      <c r="A8" s="117"/>
      <c r="B8" s="117"/>
      <c r="C8" s="372" t="s">
        <v>73</v>
      </c>
      <c r="D8" s="372"/>
      <c r="E8" s="118">
        <f>SUM(E5:E7)</f>
        <v>23678.31</v>
      </c>
    </row>
    <row r="11" spans="1:5" ht="35.25" customHeight="1" x14ac:dyDescent="0.25">
      <c r="A11" s="365"/>
      <c r="B11" s="365"/>
      <c r="C11" s="365"/>
      <c r="D11" s="365"/>
      <c r="E11" s="365"/>
    </row>
  </sheetData>
  <sheetProtection selectLockedCells="1" selectUnlockedCells="1"/>
  <mergeCells count="9">
    <mergeCell ref="A11:E11"/>
    <mergeCell ref="A7:B7"/>
    <mergeCell ref="C8:D8"/>
    <mergeCell ref="A1:E1"/>
    <mergeCell ref="A2:E2"/>
    <mergeCell ref="A3:E3"/>
    <mergeCell ref="A4:B4"/>
    <mergeCell ref="A5:B5"/>
    <mergeCell ref="A6:B6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82" firstPageNumber="0" orientation="portrait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S16"/>
  <sheetViews>
    <sheetView showGridLines="0" view="pageBreakPreview" topLeftCell="A7" zoomScale="95" zoomScaleNormal="100" zoomScaleSheetLayoutView="95" workbookViewId="0">
      <selection activeCell="K13" sqref="K13"/>
    </sheetView>
  </sheetViews>
  <sheetFormatPr defaultColWidth="9" defaultRowHeight="15.75" x14ac:dyDescent="0.25"/>
  <cols>
    <col min="1" max="7" width="9" style="3"/>
    <col min="8" max="8" width="11.85546875" style="3" bestFit="1" customWidth="1"/>
    <col min="9" max="9" width="8.28515625" style="3" bestFit="1" customWidth="1"/>
    <col min="10" max="10" width="8.5703125" style="3" bestFit="1" customWidth="1"/>
    <col min="11" max="11" width="13.85546875" style="3" bestFit="1" customWidth="1"/>
    <col min="12" max="16384" width="9" style="3"/>
  </cols>
  <sheetData>
    <row r="1" spans="1:19" ht="16.5" thickBot="1" x14ac:dyDescent="0.3"/>
    <row r="2" spans="1:19" x14ac:dyDescent="0.25">
      <c r="A2" s="347" t="s">
        <v>75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9" x14ac:dyDescent="0.25">
      <c r="A3" s="379" t="s">
        <v>219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</row>
    <row r="4" spans="1:19" ht="15.75" customHeight="1" thickBot="1" x14ac:dyDescent="0.3">
      <c r="A4" s="384"/>
      <c r="B4" s="384"/>
      <c r="C4" s="384"/>
      <c r="D4" s="384"/>
      <c r="E4" s="384"/>
      <c r="F4" s="385" t="s">
        <v>220</v>
      </c>
      <c r="G4" s="385"/>
      <c r="H4" s="385"/>
      <c r="I4" s="385"/>
      <c r="J4" s="386">
        <f>(K13+K12)</f>
        <v>20570.68</v>
      </c>
      <c r="K4" s="386"/>
    </row>
    <row r="5" spans="1:19" ht="16.5" thickBot="1" x14ac:dyDescent="0.3">
      <c r="A5" s="383"/>
      <c r="B5" s="383"/>
      <c r="C5" s="383"/>
      <c r="D5" s="383"/>
      <c r="E5" s="383"/>
      <c r="F5" s="383"/>
      <c r="G5" s="383"/>
      <c r="H5" s="383"/>
      <c r="I5" s="383"/>
      <c r="J5" s="383"/>
      <c r="K5" s="383"/>
    </row>
    <row r="6" spans="1:19" x14ac:dyDescent="0.25">
      <c r="A6" s="347" t="s">
        <v>221</v>
      </c>
      <c r="B6" s="347"/>
      <c r="C6" s="347"/>
      <c r="D6" s="347"/>
      <c r="E6" s="347"/>
      <c r="F6" s="347"/>
      <c r="G6" s="347"/>
      <c r="H6" s="347"/>
      <c r="I6" s="347"/>
      <c r="J6" s="347"/>
      <c r="K6" s="347"/>
      <c r="S6" s="103"/>
    </row>
    <row r="7" spans="1:19" x14ac:dyDescent="0.25">
      <c r="A7" s="379" t="s">
        <v>222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S7" s="103"/>
    </row>
    <row r="8" spans="1:19" x14ac:dyDescent="0.25">
      <c r="A8" s="380" t="s">
        <v>223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S8" s="103"/>
    </row>
    <row r="9" spans="1:19" ht="27" customHeight="1" x14ac:dyDescent="0.25">
      <c r="A9" s="381" t="s">
        <v>224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</row>
    <row r="10" spans="1:19" x14ac:dyDescent="0.25">
      <c r="A10" s="382" t="s">
        <v>225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</row>
    <row r="11" spans="1:19" ht="63" x14ac:dyDescent="0.25">
      <c r="A11" s="363" t="s">
        <v>226</v>
      </c>
      <c r="B11" s="363"/>
      <c r="C11" s="363"/>
      <c r="D11" s="363"/>
      <c r="E11" s="363"/>
      <c r="F11" s="363"/>
      <c r="G11" s="363"/>
      <c r="H11" s="104" t="s">
        <v>70</v>
      </c>
      <c r="I11" s="105" t="s">
        <v>227</v>
      </c>
      <c r="J11" s="105" t="s">
        <v>228</v>
      </c>
      <c r="K11" s="106" t="s">
        <v>72</v>
      </c>
    </row>
    <row r="12" spans="1:19" ht="48.75" customHeight="1" x14ac:dyDescent="0.25">
      <c r="A12" s="376" t="s">
        <v>229</v>
      </c>
      <c r="B12" s="376"/>
      <c r="C12" s="376"/>
      <c r="D12" s="376"/>
      <c r="E12" s="376"/>
      <c r="F12" s="376"/>
      <c r="G12" s="376"/>
      <c r="H12" s="107">
        <f>'[1]Mão de obra'!C48</f>
        <v>169</v>
      </c>
      <c r="I12" s="108">
        <v>46.67</v>
      </c>
      <c r="J12" s="109">
        <f>I12*'[1]Mão de obra'!I14</f>
        <v>14.19</v>
      </c>
      <c r="K12" s="110">
        <f>(J12+I12)*H12</f>
        <v>10285.34</v>
      </c>
      <c r="S12" s="2"/>
    </row>
    <row r="13" spans="1:19" ht="45" customHeight="1" x14ac:dyDescent="0.25">
      <c r="A13" s="376" t="s">
        <v>230</v>
      </c>
      <c r="B13" s="376"/>
      <c r="C13" s="376"/>
      <c r="D13" s="376"/>
      <c r="E13" s="376"/>
      <c r="F13" s="376"/>
      <c r="G13" s="376"/>
      <c r="H13" s="111">
        <f>'[1]Mão de obra'!C48</f>
        <v>169</v>
      </c>
      <c r="I13" s="108">
        <v>46.67</v>
      </c>
      <c r="J13" s="109">
        <f>I13*'[1]Mão de obra'!I14</f>
        <v>14.19</v>
      </c>
      <c r="K13" s="110">
        <f>(J13+I13)*H13</f>
        <v>10285.34</v>
      </c>
      <c r="S13" s="2"/>
    </row>
    <row r="14" spans="1:19" ht="45.75" customHeight="1" x14ac:dyDescent="0.25">
      <c r="A14" s="377" t="s">
        <v>231</v>
      </c>
      <c r="B14" s="377"/>
      <c r="C14" s="377"/>
      <c r="D14" s="377"/>
      <c r="E14" s="377"/>
      <c r="F14" s="377"/>
      <c r="G14" s="377"/>
      <c r="H14" s="377"/>
      <c r="I14" s="377"/>
      <c r="J14" s="377"/>
      <c r="K14" s="377"/>
    </row>
    <row r="15" spans="1:19" ht="33.75" customHeight="1" thickBot="1" x14ac:dyDescent="0.3">
      <c r="A15" s="378" t="s">
        <v>232</v>
      </c>
      <c r="B15" s="378"/>
      <c r="C15" s="378"/>
      <c r="D15" s="378"/>
      <c r="E15" s="378"/>
      <c r="F15" s="378"/>
      <c r="G15" s="378"/>
      <c r="H15" s="378"/>
      <c r="I15" s="378"/>
      <c r="J15" s="378"/>
      <c r="K15" s="378"/>
    </row>
    <row r="16" spans="1:19" ht="28.5" customHeight="1" thickBot="1" x14ac:dyDescent="0.3">
      <c r="A16" s="378"/>
      <c r="B16" s="378"/>
      <c r="C16" s="378"/>
      <c r="D16" s="378"/>
      <c r="E16" s="378"/>
      <c r="F16" s="378"/>
      <c r="G16" s="378"/>
      <c r="H16" s="378"/>
      <c r="I16" s="378"/>
      <c r="J16" s="378"/>
      <c r="K16" s="378"/>
    </row>
  </sheetData>
  <mergeCells count="16">
    <mergeCell ref="A5:K5"/>
    <mergeCell ref="A2:K2"/>
    <mergeCell ref="A3:K3"/>
    <mergeCell ref="A4:E4"/>
    <mergeCell ref="F4:I4"/>
    <mergeCell ref="J4:K4"/>
    <mergeCell ref="A12:G12"/>
    <mergeCell ref="A13:G13"/>
    <mergeCell ref="A14:K14"/>
    <mergeCell ref="A15:K16"/>
    <mergeCell ref="A6:K6"/>
    <mergeCell ref="A7:K7"/>
    <mergeCell ref="A8:K8"/>
    <mergeCell ref="A9:K9"/>
    <mergeCell ref="A10:K10"/>
    <mergeCell ref="A11:G11"/>
  </mergeCells>
  <pageMargins left="0.511811024" right="0.511811024" top="0.78740157499999996" bottom="0.78740157499999996" header="0.31496062000000002" footer="0.31496062000000002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19"/>
  <sheetViews>
    <sheetView showGridLines="0" view="pageBreakPreview" topLeftCell="A4" zoomScale="95" zoomScaleNormal="100" zoomScaleSheetLayoutView="95" workbookViewId="0">
      <selection activeCell="F15" sqref="F15"/>
    </sheetView>
  </sheetViews>
  <sheetFormatPr defaultRowHeight="15.75" x14ac:dyDescent="0.25"/>
  <cols>
    <col min="1" max="1" width="9.140625" style="3" customWidth="1"/>
    <col min="2" max="2" width="6.5703125" style="3" customWidth="1"/>
    <col min="3" max="3" width="11.140625" style="3" bestFit="1" customWidth="1"/>
    <col min="4" max="4" width="21.7109375" style="3" bestFit="1" customWidth="1"/>
    <col min="5" max="5" width="21" style="3" bestFit="1" customWidth="1"/>
    <col min="6" max="6" width="21.85546875" style="3" bestFit="1" customWidth="1"/>
    <col min="7" max="7" width="22.42578125" style="3" bestFit="1" customWidth="1"/>
    <col min="8" max="8" width="23.140625" style="3" bestFit="1" customWidth="1"/>
    <col min="9" max="9" width="26.7109375" style="3" bestFit="1" customWidth="1"/>
    <col min="10" max="16384" width="9.140625" style="3"/>
  </cols>
  <sheetData>
    <row r="1" spans="1:9" s="4" customFormat="1" ht="20.100000000000001" customHeight="1" x14ac:dyDescent="0.25">
      <c r="A1" s="389" t="s">
        <v>79</v>
      </c>
      <c r="B1" s="390"/>
      <c r="C1" s="390"/>
      <c r="D1" s="390"/>
      <c r="E1" s="390"/>
      <c r="F1" s="390"/>
      <c r="G1" s="390"/>
      <c r="H1" s="390"/>
      <c r="I1" s="391"/>
    </row>
    <row r="2" spans="1:9" s="4" customFormat="1" ht="20.100000000000001" customHeight="1" x14ac:dyDescent="0.25">
      <c r="A2" s="286" t="s">
        <v>183</v>
      </c>
      <c r="B2" s="199"/>
      <c r="C2" s="199"/>
      <c r="D2" s="199"/>
      <c r="E2" s="199"/>
      <c r="F2" s="199"/>
      <c r="G2" s="199"/>
      <c r="H2" s="199"/>
      <c r="I2" s="392"/>
    </row>
    <row r="3" spans="1:9" s="4" customFormat="1" ht="20.100000000000001" customHeight="1" x14ac:dyDescent="0.25">
      <c r="A3" s="286" t="s">
        <v>184</v>
      </c>
      <c r="B3" s="199"/>
      <c r="C3" s="199"/>
      <c r="D3" s="199"/>
      <c r="E3" s="199"/>
      <c r="F3" s="199"/>
      <c r="G3" s="199"/>
      <c r="H3" s="199"/>
      <c r="I3" s="392"/>
    </row>
    <row r="4" spans="1:9" ht="20.100000000000001" customHeight="1" x14ac:dyDescent="0.25">
      <c r="A4" s="331"/>
      <c r="B4" s="222"/>
      <c r="C4" s="222"/>
      <c r="D4" s="222"/>
      <c r="E4" s="222"/>
      <c r="F4" s="222"/>
      <c r="G4" s="222"/>
      <c r="H4" s="222"/>
      <c r="I4" s="332"/>
    </row>
    <row r="5" spans="1:9" ht="20.100000000000001" customHeight="1" x14ac:dyDescent="0.25">
      <c r="A5" s="305" t="s">
        <v>47</v>
      </c>
      <c r="B5" s="394"/>
      <c r="C5" s="306"/>
      <c r="D5" s="387" t="s">
        <v>185</v>
      </c>
      <c r="E5" s="215" t="s">
        <v>186</v>
      </c>
      <c r="F5" s="216"/>
      <c r="G5" s="216"/>
      <c r="H5" s="216"/>
      <c r="I5" s="393"/>
    </row>
    <row r="6" spans="1:9" ht="31.15" customHeight="1" x14ac:dyDescent="0.25">
      <c r="A6" s="395"/>
      <c r="B6" s="396"/>
      <c r="C6" s="397"/>
      <c r="D6" s="387"/>
      <c r="E6" s="200" t="str">
        <f>'Custos e preços'!E20</f>
        <v>AUXILIAR DE APOIO ESPECIALIZADO</v>
      </c>
      <c r="F6" s="200"/>
      <c r="G6" s="200"/>
      <c r="H6" s="200"/>
      <c r="I6" s="97" t="str">
        <f>'Custos e preços'!I20</f>
        <v>Gerente Administrativo</v>
      </c>
    </row>
    <row r="7" spans="1:9" ht="20.100000000000001" customHeight="1" x14ac:dyDescent="0.25">
      <c r="A7" s="398"/>
      <c r="B7" s="399"/>
      <c r="C7" s="400"/>
      <c r="D7" s="387"/>
      <c r="E7" s="96" t="str">
        <f>'Custos e preços'!E21</f>
        <v>CAPITAL - PERFIL I</v>
      </c>
      <c r="F7" s="96" t="str">
        <f>'Custos e preços'!F21</f>
        <v>CAPITAL - PERFIL II</v>
      </c>
      <c r="G7" s="96" t="str">
        <f>'Custos e preços'!G21</f>
        <v>INTERIOR - PERFIL I</v>
      </c>
      <c r="H7" s="96" t="str">
        <f>'Custos e preços'!H21</f>
        <v>INTERIOR - PERFIL II</v>
      </c>
      <c r="I7" s="98" t="str">
        <f>'Custos e preços'!I21</f>
        <v>CAPITAL</v>
      </c>
    </row>
    <row r="8" spans="1:9" ht="20.100000000000001" customHeight="1" x14ac:dyDescent="0.25">
      <c r="A8" s="388" t="s">
        <v>187</v>
      </c>
      <c r="B8" s="168"/>
      <c r="C8" s="168"/>
      <c r="D8" s="52">
        <f>IF('Custos e preços'!I6="Sem desoneração",'Encargos Sociais'!C18,'Encargos Sociais'!D18)</f>
        <v>8.3299999999999999E-2</v>
      </c>
      <c r="E8" s="70">
        <f>$D$8*'Custos e preços'!E25</f>
        <v>146.34</v>
      </c>
      <c r="F8" s="70">
        <f>$D$8*'Custos e preços'!F25</f>
        <v>146.34</v>
      </c>
      <c r="G8" s="70">
        <f>$D$8*'Custos e preços'!G25</f>
        <v>146.34</v>
      </c>
      <c r="H8" s="70">
        <f>$D$8*'Custos e preços'!H25</f>
        <v>146.34</v>
      </c>
      <c r="I8" s="71">
        <f>$D$8*'Custos e preços'!I25</f>
        <v>322.92</v>
      </c>
    </row>
    <row r="9" spans="1:9" ht="20.100000000000001" customHeight="1" x14ac:dyDescent="0.25">
      <c r="A9" s="301" t="s">
        <v>188</v>
      </c>
      <c r="B9" s="302"/>
      <c r="C9" s="302"/>
      <c r="D9" s="52">
        <f>IF('Custos e preços'!I6="Sem desoneração",'Encargos Sociais'!C19,'Encargos Sociais'!D19)</f>
        <v>2.7799999999999998E-2</v>
      </c>
      <c r="E9" s="70">
        <f>$D$9*'Custos e preços'!E25</f>
        <v>48.84</v>
      </c>
      <c r="F9" s="70">
        <f>$D$9*'Custos e preços'!F25</f>
        <v>48.84</v>
      </c>
      <c r="G9" s="70">
        <f>$D$9*'Custos e preços'!G25</f>
        <v>48.84</v>
      </c>
      <c r="H9" s="70">
        <f>$D$9*'Custos e preços'!H25</f>
        <v>48.84</v>
      </c>
      <c r="I9" s="71">
        <f>$D$9*'Custos e preços'!I25</f>
        <v>107.77</v>
      </c>
    </row>
    <row r="10" spans="1:9" ht="20.100000000000001" customHeight="1" x14ac:dyDescent="0.25">
      <c r="A10" s="301" t="s">
        <v>189</v>
      </c>
      <c r="B10" s="302"/>
      <c r="C10" s="302"/>
      <c r="D10" s="52">
        <f>IF('Custos e preços'!I6="Sem desoneração",'Encargos Sociais'!C17,'Encargos Sociais'!D17)</f>
        <v>8.3299999999999999E-2</v>
      </c>
      <c r="E10" s="70">
        <f>$D$10*'Custos e preços'!E25</f>
        <v>146.34</v>
      </c>
      <c r="F10" s="70">
        <f>$D$10*'Custos e preços'!F25</f>
        <v>146.34</v>
      </c>
      <c r="G10" s="70">
        <f>$D$10*'Custos e preços'!G25</f>
        <v>146.34</v>
      </c>
      <c r="H10" s="70">
        <f>$D$10*'Custos e preços'!H25</f>
        <v>146.34</v>
      </c>
      <c r="I10" s="71">
        <f>$D$10*'Custos e preços'!I25</f>
        <v>322.92</v>
      </c>
    </row>
    <row r="11" spans="1:9" ht="20.100000000000001" customHeight="1" x14ac:dyDescent="0.25">
      <c r="A11" s="301" t="s">
        <v>190</v>
      </c>
      <c r="B11" s="302"/>
      <c r="C11" s="302"/>
      <c r="D11" s="52">
        <f>IF('Custos e preços'!I6="Sem desoneração",'Encargos Sociais'!C28,'Encargos Sociais'!D28)</f>
        <v>0</v>
      </c>
      <c r="E11" s="70">
        <f>$D$11*'Custos e preços'!E25</f>
        <v>0</v>
      </c>
      <c r="F11" s="70">
        <f>$D$11*'Custos e preços'!F25</f>
        <v>0</v>
      </c>
      <c r="G11" s="70">
        <f>$D$11*'Custos e preços'!G25</f>
        <v>0</v>
      </c>
      <c r="H11" s="70">
        <f>$D$11*'Custos e preços'!H25</f>
        <v>0</v>
      </c>
      <c r="I11" s="71">
        <f>$D$11*'Custos e preços'!I25</f>
        <v>0</v>
      </c>
    </row>
    <row r="12" spans="1:9" ht="20.100000000000001" customHeight="1" x14ac:dyDescent="0.25">
      <c r="A12" s="405" t="s">
        <v>234</v>
      </c>
      <c r="B12" s="406"/>
      <c r="C12" s="26" t="s">
        <v>187</v>
      </c>
      <c r="D12" s="52">
        <f>IF('Custos e preços'!I6="Sem desoneração",'Encargos Sociais'!C7,'Encargos Sociais'!D7)</f>
        <v>0.35820000000000002</v>
      </c>
      <c r="E12" s="70">
        <f>$D$12*E8</f>
        <v>52.42</v>
      </c>
      <c r="F12" s="70">
        <f>$D$12*F8</f>
        <v>52.42</v>
      </c>
      <c r="G12" s="70">
        <f>$D$12*G8</f>
        <v>52.42</v>
      </c>
      <c r="H12" s="70">
        <f>$D$12*H8</f>
        <v>52.42</v>
      </c>
      <c r="I12" s="71">
        <f>$D$12*I8</f>
        <v>115.67</v>
      </c>
    </row>
    <row r="13" spans="1:9" ht="20.100000000000001" customHeight="1" x14ac:dyDescent="0.25">
      <c r="A13" s="405"/>
      <c r="B13" s="406"/>
      <c r="C13" s="26" t="s">
        <v>191</v>
      </c>
      <c r="D13" s="52">
        <f>IF('Custos e preços'!I6="Sem desoneração",'Encargos Sociais'!C7,'Encargos Sociais'!D7)</f>
        <v>0.35820000000000002</v>
      </c>
      <c r="E13" s="70">
        <f>$D$13*E9</f>
        <v>17.489999999999998</v>
      </c>
      <c r="F13" s="70">
        <f>$D$13*F9</f>
        <v>17.489999999999998</v>
      </c>
      <c r="G13" s="70">
        <f>$D$13*G9</f>
        <v>17.489999999999998</v>
      </c>
      <c r="H13" s="70">
        <f>$D$13*H9</f>
        <v>17.489999999999998</v>
      </c>
      <c r="I13" s="71">
        <f>$D$13*I9</f>
        <v>38.6</v>
      </c>
    </row>
    <row r="14" spans="1:9" ht="20.100000000000001" customHeight="1" x14ac:dyDescent="0.25">
      <c r="A14" s="405"/>
      <c r="B14" s="406"/>
      <c r="C14" s="26" t="s">
        <v>189</v>
      </c>
      <c r="D14" s="52">
        <f>IF('Custos e preços'!I6="Sem desoneração",'Encargos Sociais'!C7,'Encargos Sociais'!D7)</f>
        <v>0.35820000000000002</v>
      </c>
      <c r="E14" s="70">
        <f>$D$14*E10</f>
        <v>52.42</v>
      </c>
      <c r="F14" s="70">
        <f>$D$14*F10</f>
        <v>52.42</v>
      </c>
      <c r="G14" s="70">
        <f>$D$14*G10</f>
        <v>52.42</v>
      </c>
      <c r="H14" s="70">
        <f>$D$14*H10</f>
        <v>52.42</v>
      </c>
      <c r="I14" s="71">
        <f>$D$14*I10</f>
        <v>115.67</v>
      </c>
    </row>
    <row r="15" spans="1:9" ht="20.100000000000001" customHeight="1" x14ac:dyDescent="0.25">
      <c r="A15" s="301" t="s">
        <v>192</v>
      </c>
      <c r="B15" s="302"/>
      <c r="C15" s="302"/>
      <c r="D15" s="302"/>
      <c r="E15" s="70">
        <f>SUM(E8:E14)</f>
        <v>463.85</v>
      </c>
      <c r="F15" s="70">
        <f>SUM(F8:F14)</f>
        <v>463.85</v>
      </c>
      <c r="G15" s="70">
        <f>SUM(G8:G14)</f>
        <v>463.85</v>
      </c>
      <c r="H15" s="70">
        <f>SUM(H8:H14)</f>
        <v>463.85</v>
      </c>
      <c r="I15" s="71">
        <f>SUM(I8:I14)</f>
        <v>1023.55</v>
      </c>
    </row>
    <row r="16" spans="1:9" ht="20.100000000000001" customHeight="1" x14ac:dyDescent="0.25">
      <c r="A16" s="301" t="s">
        <v>20</v>
      </c>
      <c r="B16" s="302"/>
      <c r="C16" s="302"/>
      <c r="D16" s="302"/>
      <c r="E16" s="99">
        <f>'Custos e preços'!E23</f>
        <v>5</v>
      </c>
      <c r="F16" s="99">
        <f>'Custos e preços'!F23</f>
        <v>22</v>
      </c>
      <c r="G16" s="99">
        <f>'Custos e preços'!G23</f>
        <v>69</v>
      </c>
      <c r="H16" s="99">
        <f>'Custos e preços'!H23</f>
        <v>357</v>
      </c>
      <c r="I16" s="100">
        <f>'Custos e preços'!I23</f>
        <v>1</v>
      </c>
    </row>
    <row r="17" spans="1:9" ht="20.100000000000001" customHeight="1" x14ac:dyDescent="0.25">
      <c r="A17" s="301" t="s">
        <v>236</v>
      </c>
      <c r="B17" s="302"/>
      <c r="C17" s="302"/>
      <c r="D17" s="302"/>
      <c r="E17" s="101">
        <f>E16*E15</f>
        <v>2319.25</v>
      </c>
      <c r="F17" s="101">
        <f>F16*F15</f>
        <v>10204.700000000001</v>
      </c>
      <c r="G17" s="101">
        <f>G16*G15</f>
        <v>32005.65</v>
      </c>
      <c r="H17" s="101">
        <f>H16*H15</f>
        <v>165594.45000000001</v>
      </c>
      <c r="I17" s="102">
        <f>I16*I15</f>
        <v>1023.55</v>
      </c>
    </row>
    <row r="18" spans="1:9" ht="20.100000000000001" customHeight="1" x14ac:dyDescent="0.25">
      <c r="A18" s="301" t="s">
        <v>237</v>
      </c>
      <c r="B18" s="302"/>
      <c r="C18" s="302"/>
      <c r="D18" s="302"/>
      <c r="E18" s="407">
        <f>SUM(E17:I17)</f>
        <v>211147.6</v>
      </c>
      <c r="F18" s="407"/>
      <c r="G18" s="407"/>
      <c r="H18" s="407"/>
      <c r="I18" s="408"/>
    </row>
    <row r="19" spans="1:9" ht="16.5" thickBot="1" x14ac:dyDescent="0.3">
      <c r="A19" s="401" t="s">
        <v>235</v>
      </c>
      <c r="B19" s="402"/>
      <c r="C19" s="402"/>
      <c r="D19" s="402"/>
      <c r="E19" s="403">
        <f>E18/'Custos e preços'!E49</f>
        <v>7.8700000000000006E-2</v>
      </c>
      <c r="F19" s="403"/>
      <c r="G19" s="403"/>
      <c r="H19" s="403"/>
      <c r="I19" s="404"/>
    </row>
  </sheetData>
  <mergeCells count="20">
    <mergeCell ref="A19:D19"/>
    <mergeCell ref="E19:I19"/>
    <mergeCell ref="A15:D15"/>
    <mergeCell ref="A16:D16"/>
    <mergeCell ref="A11:C11"/>
    <mergeCell ref="A12:B14"/>
    <mergeCell ref="A17:D17"/>
    <mergeCell ref="A18:D18"/>
    <mergeCell ref="E18:I18"/>
    <mergeCell ref="A9:C9"/>
    <mergeCell ref="A10:C10"/>
    <mergeCell ref="D5:D7"/>
    <mergeCell ref="A8:C8"/>
    <mergeCell ref="A1:I1"/>
    <mergeCell ref="A2:I2"/>
    <mergeCell ref="A3:I3"/>
    <mergeCell ref="A4:I4"/>
    <mergeCell ref="E5:I5"/>
    <mergeCell ref="A5:C7"/>
    <mergeCell ref="E6:H6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K25"/>
  <sheetViews>
    <sheetView showGridLines="0" view="pageBreakPreview" zoomScale="95" zoomScaleNormal="100" zoomScaleSheetLayoutView="95" workbookViewId="0">
      <selection activeCell="D4" sqref="D4:F4"/>
    </sheetView>
  </sheetViews>
  <sheetFormatPr defaultRowHeight="15.75" x14ac:dyDescent="0.25"/>
  <cols>
    <col min="1" max="1" width="4" style="3" customWidth="1"/>
    <col min="2" max="2" width="35" style="3" customWidth="1"/>
    <col min="3" max="3" width="13.85546875" style="3" bestFit="1" customWidth="1"/>
    <col min="4" max="4" width="27.28515625" style="3" bestFit="1" customWidth="1"/>
    <col min="5" max="5" width="24.42578125" style="3" bestFit="1" customWidth="1"/>
    <col min="6" max="6" width="23.85546875" style="3" bestFit="1" customWidth="1"/>
    <col min="7" max="7" width="11.85546875" style="3" bestFit="1" customWidth="1"/>
    <col min="8" max="8" width="22.28515625" style="3" bestFit="1" customWidth="1"/>
    <col min="9" max="9" width="30.85546875" style="3" bestFit="1" customWidth="1"/>
    <col min="10" max="10" width="15" style="3" bestFit="1" customWidth="1"/>
    <col min="11" max="11" width="43.28515625" style="3" bestFit="1" customWidth="1"/>
    <col min="12" max="14" width="8.85546875" style="3" customWidth="1"/>
    <col min="15" max="15" width="10.7109375" style="3" customWidth="1"/>
    <col min="16" max="16384" width="9.140625" style="3"/>
  </cols>
  <sheetData>
    <row r="1" spans="1:11" s="4" customFormat="1" ht="24.95" customHeight="1" thickBot="1" x14ac:dyDescent="0.3">
      <c r="A1" s="189" t="s">
        <v>221</v>
      </c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1" s="4" customFormat="1" ht="24.95" customHeight="1" x14ac:dyDescent="0.25">
      <c r="A2" s="418" t="s">
        <v>143</v>
      </c>
      <c r="B2" s="419"/>
      <c r="C2" s="419"/>
      <c r="D2" s="419"/>
      <c r="E2" s="419"/>
      <c r="F2" s="419"/>
      <c r="G2" s="419"/>
      <c r="H2" s="419"/>
      <c r="I2" s="419"/>
      <c r="J2" s="419"/>
      <c r="K2" s="420"/>
    </row>
    <row r="3" spans="1:11" s="4" customFormat="1" ht="24.95" customHeight="1" x14ac:dyDescent="0.25">
      <c r="A3" s="421" t="s">
        <v>244</v>
      </c>
      <c r="B3" s="422"/>
      <c r="C3" s="422"/>
      <c r="D3" s="422"/>
      <c r="E3" s="422"/>
      <c r="F3" s="422"/>
      <c r="G3" s="423"/>
      <c r="H3" s="423"/>
      <c r="I3" s="423"/>
      <c r="J3" s="423"/>
      <c r="K3" s="424"/>
    </row>
    <row r="4" spans="1:11" ht="40.15" customHeight="1" x14ac:dyDescent="0.25">
      <c r="A4" s="212"/>
      <c r="B4" s="213"/>
      <c r="C4" s="213"/>
      <c r="D4" s="200" t="s">
        <v>144</v>
      </c>
      <c r="E4" s="200"/>
      <c r="F4" s="215"/>
      <c r="G4" s="414" t="s">
        <v>240</v>
      </c>
      <c r="H4" s="414" t="s">
        <v>241</v>
      </c>
      <c r="I4" s="414" t="s">
        <v>239</v>
      </c>
      <c r="J4" s="414" t="s">
        <v>242</v>
      </c>
      <c r="K4" s="413" t="s">
        <v>243</v>
      </c>
    </row>
    <row r="5" spans="1:11" ht="24.95" customHeight="1" x14ac:dyDescent="0.25">
      <c r="A5" s="409" t="s">
        <v>145</v>
      </c>
      <c r="B5" s="200"/>
      <c r="C5" s="35" t="s">
        <v>146</v>
      </c>
      <c r="D5" s="80" t="s">
        <v>248</v>
      </c>
      <c r="E5" s="80" t="s">
        <v>249</v>
      </c>
      <c r="F5" s="81" t="s">
        <v>250</v>
      </c>
      <c r="G5" s="414"/>
      <c r="H5" s="414"/>
      <c r="I5" s="414"/>
      <c r="J5" s="414"/>
      <c r="K5" s="413"/>
    </row>
    <row r="6" spans="1:11" ht="36.75" customHeight="1" x14ac:dyDescent="0.25">
      <c r="A6" s="410" t="str">
        <f>Uniformes!B5</f>
        <v>Camisa gola polo, manga curta, azul clara, composição: poliéster</v>
      </c>
      <c r="B6" s="370"/>
      <c r="C6" s="19" t="s">
        <v>40</v>
      </c>
      <c r="D6" s="82">
        <v>59.9</v>
      </c>
      <c r="E6" s="82">
        <v>37</v>
      </c>
      <c r="F6" s="82">
        <v>60</v>
      </c>
      <c r="G6" s="83">
        <f>AVERAGE(D6:F6)</f>
        <v>52.3</v>
      </c>
      <c r="H6" s="84">
        <f>STDEVA(D6:F6)</f>
        <v>13.25</v>
      </c>
      <c r="I6" s="85">
        <f>H6/G6</f>
        <v>0.25330000000000003</v>
      </c>
      <c r="J6" s="86">
        <f>ROUND(MEDIAN(D6:F8),2)</f>
        <v>59.9</v>
      </c>
      <c r="K6" s="87">
        <f>IF(I6&gt;25%,J6,G6)</f>
        <v>59.9</v>
      </c>
    </row>
    <row r="7" spans="1:11" ht="34.9" customHeight="1" x14ac:dyDescent="0.25">
      <c r="A7" s="415"/>
      <c r="B7" s="416"/>
      <c r="C7" s="417"/>
      <c r="D7" s="200" t="s">
        <v>144</v>
      </c>
      <c r="E7" s="200"/>
      <c r="F7" s="215"/>
      <c r="G7" s="414" t="s">
        <v>240</v>
      </c>
      <c r="H7" s="414" t="s">
        <v>241</v>
      </c>
      <c r="I7" s="414" t="s">
        <v>239</v>
      </c>
      <c r="J7" s="414" t="s">
        <v>242</v>
      </c>
      <c r="K7" s="413" t="s">
        <v>243</v>
      </c>
    </row>
    <row r="8" spans="1:11" ht="34.9" customHeight="1" x14ac:dyDescent="0.25">
      <c r="A8" s="409" t="s">
        <v>145</v>
      </c>
      <c r="B8" s="200"/>
      <c r="C8" s="35" t="s">
        <v>146</v>
      </c>
      <c r="D8" s="88" t="s">
        <v>251</v>
      </c>
      <c r="E8" s="88" t="s">
        <v>252</v>
      </c>
      <c r="F8" s="88" t="s">
        <v>253</v>
      </c>
      <c r="G8" s="414"/>
      <c r="H8" s="414"/>
      <c r="I8" s="414"/>
      <c r="J8" s="414"/>
      <c r="K8" s="413"/>
    </row>
    <row r="9" spans="1:11" ht="43.9" customHeight="1" thickBot="1" x14ac:dyDescent="0.3">
      <c r="A9" s="411" t="str">
        <f>Uniformes!B6</f>
        <v>Crachá em PVC Branco 0,5mm/Tamanho Final: 5,4×8,5cm /Tam. com Sangra: 6,0×9,1cm /Com presilha metálica cromada/Acabamento: Cantos Arredondados e furo.</v>
      </c>
      <c r="B9" s="412"/>
      <c r="C9" s="89" t="s">
        <v>40</v>
      </c>
      <c r="D9" s="90">
        <v>14</v>
      </c>
      <c r="E9" s="90">
        <v>18</v>
      </c>
      <c r="F9" s="90">
        <v>12</v>
      </c>
      <c r="G9" s="83">
        <f>AVERAGE(D9:F9)</f>
        <v>14.67</v>
      </c>
      <c r="H9" s="84">
        <f>STDEVA(D9:F9)</f>
        <v>3.06</v>
      </c>
      <c r="I9" s="85">
        <f>H9/G9</f>
        <v>0.20860000000000001</v>
      </c>
      <c r="J9" s="86">
        <f>ROUND(MEDIAN(D9:F11),2)</f>
        <v>14</v>
      </c>
      <c r="K9" s="87">
        <f>IF(I9&gt;25%,J9,G9)</f>
        <v>14.67</v>
      </c>
    </row>
    <row r="10" spans="1:11" ht="14.45" customHeight="1" x14ac:dyDescent="0.25">
      <c r="A10" s="428" t="s">
        <v>238</v>
      </c>
      <c r="B10" s="429"/>
      <c r="C10" s="429"/>
      <c r="D10" s="429"/>
      <c r="E10" s="429"/>
      <c r="F10" s="429"/>
      <c r="G10" s="429"/>
      <c r="H10" s="429"/>
      <c r="I10" s="429"/>
      <c r="J10" s="429"/>
      <c r="K10" s="430"/>
    </row>
    <row r="11" spans="1:11" x14ac:dyDescent="0.25">
      <c r="A11" s="431"/>
      <c r="B11" s="307"/>
      <c r="C11" s="307"/>
      <c r="D11" s="307"/>
      <c r="E11" s="307"/>
      <c r="F11" s="307"/>
      <c r="G11" s="307"/>
      <c r="H11" s="307"/>
      <c r="I11" s="307"/>
      <c r="J11" s="307"/>
      <c r="K11" s="432"/>
    </row>
    <row r="12" spans="1:11" ht="16.5" thickBot="1" x14ac:dyDescent="0.3">
      <c r="A12" s="433"/>
      <c r="B12" s="434"/>
      <c r="C12" s="434"/>
      <c r="D12" s="434"/>
      <c r="E12" s="434"/>
      <c r="F12" s="434"/>
      <c r="G12" s="434"/>
      <c r="H12" s="434"/>
      <c r="I12" s="434"/>
      <c r="J12" s="434"/>
      <c r="K12" s="435"/>
    </row>
    <row r="13" spans="1:11" ht="16.5" thickBot="1" x14ac:dyDescent="0.3"/>
    <row r="14" spans="1:11" ht="22.5" customHeight="1" x14ac:dyDescent="0.25">
      <c r="A14" s="418" t="s">
        <v>263</v>
      </c>
      <c r="B14" s="419"/>
      <c r="C14" s="419"/>
      <c r="D14" s="419"/>
      <c r="E14" s="419"/>
      <c r="F14" s="419"/>
      <c r="G14" s="419"/>
      <c r="H14" s="419"/>
      <c r="I14" s="419"/>
      <c r="J14" s="419"/>
      <c r="K14" s="420"/>
    </row>
    <row r="15" spans="1:11" x14ac:dyDescent="0.25">
      <c r="A15" s="425" t="s">
        <v>143</v>
      </c>
      <c r="B15" s="426"/>
      <c r="C15" s="426"/>
      <c r="D15" s="426"/>
      <c r="E15" s="426"/>
      <c r="F15" s="426"/>
      <c r="G15" s="426"/>
      <c r="H15" s="426"/>
      <c r="I15" s="426"/>
      <c r="J15" s="426"/>
      <c r="K15" s="427"/>
    </row>
    <row r="16" spans="1:11" x14ac:dyDescent="0.25">
      <c r="A16" s="421" t="s">
        <v>245</v>
      </c>
      <c r="B16" s="422"/>
      <c r="C16" s="422"/>
      <c r="D16" s="422"/>
      <c r="E16" s="422"/>
      <c r="F16" s="422"/>
      <c r="G16" s="423"/>
      <c r="H16" s="423"/>
      <c r="I16" s="423"/>
      <c r="J16" s="423"/>
      <c r="K16" s="424"/>
    </row>
    <row r="17" spans="1:11" ht="22.15" customHeight="1" x14ac:dyDescent="0.25">
      <c r="A17" s="212"/>
      <c r="B17" s="213"/>
      <c r="C17" s="213"/>
      <c r="D17" s="200" t="s">
        <v>144</v>
      </c>
      <c r="E17" s="200"/>
      <c r="F17" s="200"/>
      <c r="G17" s="414" t="s">
        <v>240</v>
      </c>
      <c r="H17" s="414" t="s">
        <v>241</v>
      </c>
      <c r="I17" s="414" t="s">
        <v>239</v>
      </c>
      <c r="J17" s="414" t="s">
        <v>242</v>
      </c>
      <c r="K17" s="413" t="s">
        <v>243</v>
      </c>
    </row>
    <row r="18" spans="1:11" ht="37.9" customHeight="1" x14ac:dyDescent="0.25">
      <c r="A18" s="409" t="s">
        <v>145</v>
      </c>
      <c r="B18" s="200"/>
      <c r="C18" s="35" t="s">
        <v>146</v>
      </c>
      <c r="D18" s="80" t="s">
        <v>254</v>
      </c>
      <c r="E18" s="80" t="s">
        <v>255</v>
      </c>
      <c r="F18" s="80" t="s">
        <v>256</v>
      </c>
      <c r="G18" s="414"/>
      <c r="H18" s="414"/>
      <c r="I18" s="414"/>
      <c r="J18" s="414"/>
      <c r="K18" s="413"/>
    </row>
    <row r="19" spans="1:11" ht="39" customHeight="1" x14ac:dyDescent="0.25">
      <c r="A19" s="410" t="str">
        <f>'Kit Ferramentas'!A5:B5</f>
        <v>Chave de fenda 3/16"x 3", composto relevante: cromo vanádio</v>
      </c>
      <c r="B19" s="370"/>
      <c r="C19" s="19" t="s">
        <v>40</v>
      </c>
      <c r="D19" s="82">
        <v>6.93</v>
      </c>
      <c r="E19" s="82">
        <v>12</v>
      </c>
      <c r="F19" s="82">
        <v>12</v>
      </c>
      <c r="G19" s="83">
        <f>AVERAGE(D19:F19)</f>
        <v>10.31</v>
      </c>
      <c r="H19" s="84">
        <f>STDEVA(D19:F19)</f>
        <v>2.93</v>
      </c>
      <c r="I19" s="85">
        <f>H19/G19</f>
        <v>0.28420000000000001</v>
      </c>
      <c r="J19" s="86">
        <f>ROUND(MEDIAN(D19:F21),2)</f>
        <v>12</v>
      </c>
      <c r="K19" s="87">
        <f>IF(I19&gt;25%,J19,G19)</f>
        <v>12</v>
      </c>
    </row>
    <row r="20" spans="1:11" ht="36.6" customHeight="1" x14ac:dyDescent="0.25">
      <c r="A20" s="436"/>
      <c r="B20" s="437"/>
      <c r="C20" s="438"/>
      <c r="D20" s="200" t="s">
        <v>144</v>
      </c>
      <c r="E20" s="200"/>
      <c r="F20" s="200"/>
      <c r="G20" s="414" t="s">
        <v>240</v>
      </c>
      <c r="H20" s="414" t="s">
        <v>241</v>
      </c>
      <c r="I20" s="414" t="s">
        <v>239</v>
      </c>
      <c r="J20" s="414" t="s">
        <v>242</v>
      </c>
      <c r="K20" s="413" t="s">
        <v>243</v>
      </c>
    </row>
    <row r="21" spans="1:11" ht="26.45" customHeight="1" x14ac:dyDescent="0.25">
      <c r="A21" s="409" t="s">
        <v>145</v>
      </c>
      <c r="B21" s="200"/>
      <c r="C21" s="35" t="s">
        <v>146</v>
      </c>
      <c r="D21" s="80" t="s">
        <v>254</v>
      </c>
      <c r="E21" s="80" t="s">
        <v>255</v>
      </c>
      <c r="F21" s="80" t="s">
        <v>256</v>
      </c>
      <c r="G21" s="414"/>
      <c r="H21" s="414"/>
      <c r="I21" s="414"/>
      <c r="J21" s="414"/>
      <c r="K21" s="413"/>
    </row>
    <row r="22" spans="1:11" ht="22.5" customHeight="1" x14ac:dyDescent="0.25">
      <c r="A22" s="410" t="str">
        <f>'Kit Ferramentas'!A6:B6</f>
        <v>Chave Phillips 3/16"x 3", composto relevante: cromo vanádio</v>
      </c>
      <c r="B22" s="370"/>
      <c r="C22" s="19" t="s">
        <v>40</v>
      </c>
      <c r="D22" s="82">
        <v>8.85</v>
      </c>
      <c r="E22" s="82">
        <v>15</v>
      </c>
      <c r="F22" s="82">
        <v>14</v>
      </c>
      <c r="G22" s="83">
        <f>AVERAGE(D22:F22)</f>
        <v>12.62</v>
      </c>
      <c r="H22" s="84">
        <f>STDEVA(D22:F22)</f>
        <v>3.3</v>
      </c>
      <c r="I22" s="85">
        <f>H22/G22</f>
        <v>0.26150000000000001</v>
      </c>
      <c r="J22" s="86">
        <f>ROUND(MEDIAN(D22:F24),2)</f>
        <v>14</v>
      </c>
      <c r="K22" s="87">
        <f>IF(I22&gt;25%,J22,G22)</f>
        <v>14</v>
      </c>
    </row>
    <row r="23" spans="1:11" ht="22.5" customHeight="1" x14ac:dyDescent="0.25">
      <c r="A23" s="436"/>
      <c r="B23" s="437"/>
      <c r="C23" s="438"/>
      <c r="D23" s="200" t="s">
        <v>144</v>
      </c>
      <c r="E23" s="200"/>
      <c r="F23" s="200"/>
      <c r="G23" s="414" t="s">
        <v>240</v>
      </c>
      <c r="H23" s="414" t="s">
        <v>241</v>
      </c>
      <c r="I23" s="414" t="s">
        <v>239</v>
      </c>
      <c r="J23" s="414" t="s">
        <v>242</v>
      </c>
      <c r="K23" s="413" t="s">
        <v>243</v>
      </c>
    </row>
    <row r="24" spans="1:11" ht="31.9" customHeight="1" x14ac:dyDescent="0.25">
      <c r="A24" s="409" t="s">
        <v>145</v>
      </c>
      <c r="B24" s="200"/>
      <c r="C24" s="35" t="s">
        <v>146</v>
      </c>
      <c r="D24" s="80" t="s">
        <v>254</v>
      </c>
      <c r="E24" s="80" t="s">
        <v>255</v>
      </c>
      <c r="F24" s="80" t="s">
        <v>256</v>
      </c>
      <c r="G24" s="414"/>
      <c r="H24" s="414"/>
      <c r="I24" s="414"/>
      <c r="J24" s="414"/>
      <c r="K24" s="413"/>
    </row>
    <row r="25" spans="1:11" ht="33.75" customHeight="1" thickBot="1" x14ac:dyDescent="0.3">
      <c r="A25" s="411" t="str">
        <f>'Kit Ferramentas'!A7:B7</f>
        <v>Chave de fenda para teste (100 a 250V) 1/8" x 3" composto relevante: aço temperado</v>
      </c>
      <c r="B25" s="412"/>
      <c r="C25" s="89" t="s">
        <v>40</v>
      </c>
      <c r="D25" s="90">
        <v>23</v>
      </c>
      <c r="E25" s="90">
        <v>33</v>
      </c>
      <c r="F25" s="90">
        <v>22.8</v>
      </c>
      <c r="G25" s="91">
        <f>AVERAGE(D25:F25)</f>
        <v>26.27</v>
      </c>
      <c r="H25" s="92">
        <f>STDEVA(D25:F25)</f>
        <v>5.83</v>
      </c>
      <c r="I25" s="93">
        <f>H25/G25</f>
        <v>0.22189999999999999</v>
      </c>
      <c r="J25" s="94">
        <f>ROUND(MEDIAN(D25:F27),2)</f>
        <v>23</v>
      </c>
      <c r="K25" s="95">
        <f>IF(I25&gt;25%,J25,G25)</f>
        <v>26.27</v>
      </c>
    </row>
  </sheetData>
  <mergeCells count="52">
    <mergeCell ref="K23:K24"/>
    <mergeCell ref="A23:C23"/>
    <mergeCell ref="A20:C20"/>
    <mergeCell ref="D23:F23"/>
    <mergeCell ref="G23:G24"/>
    <mergeCell ref="H23:H24"/>
    <mergeCell ref="I23:I24"/>
    <mergeCell ref="J23:J24"/>
    <mergeCell ref="D20:F20"/>
    <mergeCell ref="G20:G21"/>
    <mergeCell ref="A9:B9"/>
    <mergeCell ref="H20:H21"/>
    <mergeCell ref="I20:I21"/>
    <mergeCell ref="J20:J21"/>
    <mergeCell ref="K20:K21"/>
    <mergeCell ref="G17:G18"/>
    <mergeCell ref="H17:H18"/>
    <mergeCell ref="I17:I18"/>
    <mergeCell ref="J17:J18"/>
    <mergeCell ref="K17:K18"/>
    <mergeCell ref="A14:K14"/>
    <mergeCell ref="A16:K16"/>
    <mergeCell ref="A17:C17"/>
    <mergeCell ref="D17:F17"/>
    <mergeCell ref="A15:K15"/>
    <mergeCell ref="A10:K12"/>
    <mergeCell ref="A1:K1"/>
    <mergeCell ref="A2:K2"/>
    <mergeCell ref="A3:K3"/>
    <mergeCell ref="A4:C4"/>
    <mergeCell ref="D4:F4"/>
    <mergeCell ref="G4:G5"/>
    <mergeCell ref="H4:H5"/>
    <mergeCell ref="I4:I5"/>
    <mergeCell ref="J4:J5"/>
    <mergeCell ref="K4:K5"/>
    <mergeCell ref="A6:B6"/>
    <mergeCell ref="A5:B5"/>
    <mergeCell ref="K7:K8"/>
    <mergeCell ref="J7:J8"/>
    <mergeCell ref="D7:F7"/>
    <mergeCell ref="A8:B8"/>
    <mergeCell ref="G7:G8"/>
    <mergeCell ref="H7:H8"/>
    <mergeCell ref="I7:I8"/>
    <mergeCell ref="A7:C7"/>
    <mergeCell ref="A18:B18"/>
    <mergeCell ref="A19:B19"/>
    <mergeCell ref="A21:B21"/>
    <mergeCell ref="A25:B25"/>
    <mergeCell ref="A22:B22"/>
    <mergeCell ref="A24:B24"/>
  </mergeCells>
  <phoneticPr fontId="0" type="noConversion"/>
  <pageMargins left="0.25" right="0.25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Custos e preços</vt:lpstr>
      <vt:lpstr>Encargos Sociais</vt:lpstr>
      <vt:lpstr>Uniformes</vt:lpstr>
      <vt:lpstr>Kit Ferramentas</vt:lpstr>
      <vt:lpstr>Custos Exames e Laudo</vt:lpstr>
      <vt:lpstr>Conta vinculada</vt:lpstr>
      <vt:lpstr>Pesquisas</vt:lpstr>
      <vt:lpstr>'Kit Ferramentas'!Area_de_impressao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Marconio Galvao Lopes</dc:creator>
  <cp:lastModifiedBy>Vangleissa de Souza Pereira</cp:lastModifiedBy>
  <cp:lastPrinted>2023-12-19T11:52:53Z</cp:lastPrinted>
  <dcterms:created xsi:type="dcterms:W3CDTF">2016-02-23T10:55:36Z</dcterms:created>
  <dcterms:modified xsi:type="dcterms:W3CDTF">2024-04-30T14:15:11Z</dcterms:modified>
</cp:coreProperties>
</file>